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bysimkin/Documents/ COVID-19/"/>
    </mc:Choice>
  </mc:AlternateContent>
  <xr:revisionPtr revIDLastSave="0" documentId="13_ncr:1_{84A41E24-86FA-084D-A507-190F0CAE2678}" xr6:coauthVersionLast="45" xr6:coauthVersionMax="45" xr10:uidLastSave="{00000000-0000-0000-0000-000000000000}"/>
  <bookViews>
    <workbookView xWindow="20980" yWindow="1220" windowWidth="24060" windowHeight="26000" xr2:uid="{6E16CE44-B312-5546-9F5B-4A49E805A252}"/>
  </bookViews>
  <sheets>
    <sheet name="COVID-19 St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7" i="1" l="1"/>
  <c r="L136" i="1"/>
  <c r="K136" i="1"/>
  <c r="L135" i="1"/>
  <c r="K137" i="1" l="1"/>
  <c r="K135" i="1"/>
  <c r="K134" i="1"/>
  <c r="L134" i="1"/>
  <c r="K133" i="1"/>
  <c r="L133" i="1"/>
  <c r="L132" i="1"/>
  <c r="K132" i="1"/>
  <c r="K131" i="1"/>
  <c r="L131" i="1"/>
  <c r="L130" i="1" l="1"/>
  <c r="K130" i="1"/>
  <c r="K129" i="1"/>
  <c r="L129" i="1"/>
  <c r="L128" i="1"/>
  <c r="K128" i="1"/>
  <c r="K127" i="1"/>
  <c r="L127" i="1"/>
  <c r="L126" i="1" l="1"/>
  <c r="K126" i="1"/>
  <c r="K125" i="1" l="1"/>
  <c r="L125" i="1"/>
  <c r="G124" i="1"/>
  <c r="J124" i="1"/>
  <c r="K124" i="1"/>
  <c r="L124" i="1"/>
  <c r="K123" i="1"/>
  <c r="L123" i="1"/>
  <c r="K122" i="1"/>
  <c r="L122" i="1"/>
  <c r="L121" i="1" l="1"/>
  <c r="K121" i="1"/>
  <c r="K120" i="1"/>
  <c r="L120" i="1"/>
  <c r="L119" i="1"/>
  <c r="K119" i="1"/>
  <c r="K118" i="1"/>
  <c r="L118" i="1"/>
  <c r="L117" i="1"/>
  <c r="K117" i="1"/>
  <c r="K116" i="1"/>
  <c r="L116" i="1"/>
  <c r="L106" i="1"/>
  <c r="L113" i="1"/>
  <c r="L115" i="1"/>
  <c r="K115" i="1"/>
  <c r="L112" i="1"/>
  <c r="G114" i="1" l="1"/>
  <c r="J114" i="1"/>
  <c r="K114" i="1"/>
  <c r="L114" i="1"/>
  <c r="K113" i="1"/>
  <c r="K112" i="1"/>
  <c r="L111" i="1"/>
  <c r="K111" i="1"/>
  <c r="L110" i="1"/>
  <c r="K110" i="1"/>
  <c r="L109" i="1"/>
  <c r="K109" i="1"/>
  <c r="L108" i="1" l="1"/>
  <c r="K108" i="1"/>
  <c r="K107" i="1"/>
  <c r="L107" i="1"/>
  <c r="K106" i="1"/>
  <c r="L105" i="1"/>
  <c r="K105" i="1"/>
  <c r="L104" i="1"/>
  <c r="K104" i="1"/>
  <c r="L103" i="1" l="1"/>
  <c r="K103" i="1"/>
  <c r="G103" i="1"/>
  <c r="L102" i="1" l="1"/>
  <c r="K102" i="1"/>
  <c r="K101" i="1"/>
  <c r="L101" i="1"/>
  <c r="J137" i="1"/>
  <c r="M137" i="1"/>
  <c r="R93" i="1" s="1"/>
  <c r="G137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00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N139" i="1" s="1"/>
  <c r="M139" i="1" s="1"/>
  <c r="L100" i="1"/>
  <c r="J100" i="1"/>
  <c r="K100" i="1"/>
  <c r="L99" i="1"/>
  <c r="W93" i="1" l="1"/>
  <c r="H137" i="1"/>
  <c r="H116" i="1"/>
  <c r="H130" i="1"/>
  <c r="H123" i="1"/>
  <c r="H109" i="1"/>
  <c r="L98" i="1"/>
  <c r="L97" i="1"/>
  <c r="L96" i="1"/>
  <c r="M103" i="1"/>
  <c r="M104" i="1"/>
  <c r="M105" i="1"/>
  <c r="M106" i="1"/>
  <c r="M107" i="1"/>
  <c r="M108" i="1"/>
  <c r="M109" i="1"/>
  <c r="M110" i="1"/>
  <c r="M111" i="1"/>
  <c r="M112" i="1"/>
  <c r="M113" i="1"/>
  <c r="K99" i="1"/>
  <c r="M99" i="1" s="1"/>
  <c r="M100" i="1"/>
  <c r="M101" i="1"/>
  <c r="M102" i="1"/>
  <c r="J99" i="1"/>
  <c r="G99" i="1"/>
  <c r="G98" i="1"/>
  <c r="L95" i="1"/>
  <c r="L94" i="1"/>
  <c r="L93" i="1"/>
  <c r="L92" i="1" l="1"/>
  <c r="L91" i="1"/>
  <c r="L90" i="1"/>
  <c r="L89" i="1"/>
  <c r="L88" i="1" l="1"/>
  <c r="G84" i="1" l="1"/>
  <c r="G85" i="1"/>
  <c r="G86" i="1"/>
  <c r="G87" i="1"/>
  <c r="L87" i="1"/>
  <c r="L86" i="1" l="1"/>
  <c r="L85" i="1" l="1"/>
  <c r="L84" i="1"/>
  <c r="L83" i="1"/>
  <c r="L82" i="1"/>
  <c r="L81" i="1" l="1"/>
  <c r="L80" i="1"/>
  <c r="L79" i="1"/>
  <c r="L78" i="1" l="1"/>
  <c r="L77" i="1" l="1"/>
  <c r="L76" i="1" l="1"/>
  <c r="L7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6" i="1"/>
  <c r="G7" i="1"/>
  <c r="G8" i="1"/>
  <c r="G9" i="1"/>
  <c r="H11" i="1" s="1"/>
  <c r="G10" i="1"/>
  <c r="G11" i="1"/>
  <c r="G12" i="1"/>
  <c r="H18" i="1" s="1"/>
  <c r="G13" i="1"/>
  <c r="G14" i="1"/>
  <c r="G15" i="1"/>
  <c r="G16" i="1"/>
  <c r="G17" i="1"/>
  <c r="G18" i="1"/>
  <c r="G19" i="1"/>
  <c r="H25" i="1" s="1"/>
  <c r="G20" i="1"/>
  <c r="G21" i="1"/>
  <c r="G22" i="1"/>
  <c r="G23" i="1"/>
  <c r="G24" i="1"/>
  <c r="G25" i="1"/>
  <c r="G26" i="1"/>
  <c r="H32" i="1" s="1"/>
  <c r="G27" i="1"/>
  <c r="G28" i="1"/>
  <c r="G29" i="1"/>
  <c r="G30" i="1"/>
  <c r="G31" i="1"/>
  <c r="G32" i="1"/>
  <c r="G33" i="1"/>
  <c r="H39" i="1" s="1"/>
  <c r="G34" i="1"/>
  <c r="G35" i="1"/>
  <c r="G36" i="1"/>
  <c r="G37" i="1"/>
  <c r="G38" i="1"/>
  <c r="G39" i="1"/>
  <c r="G40" i="1"/>
  <c r="H46" i="1" s="1"/>
  <c r="G41" i="1"/>
  <c r="G42" i="1"/>
  <c r="G43" i="1"/>
  <c r="G44" i="1"/>
  <c r="G45" i="1"/>
  <c r="G46" i="1"/>
  <c r="G47" i="1"/>
  <c r="H53" i="1" s="1"/>
  <c r="G48" i="1"/>
  <c r="G49" i="1"/>
  <c r="G50" i="1"/>
  <c r="G51" i="1"/>
  <c r="G52" i="1"/>
  <c r="G53" i="1"/>
  <c r="G54" i="1"/>
  <c r="H60" i="1" s="1"/>
  <c r="G55" i="1"/>
  <c r="G56" i="1"/>
  <c r="G57" i="1"/>
  <c r="G58" i="1"/>
  <c r="G59" i="1"/>
  <c r="G60" i="1"/>
  <c r="G61" i="1"/>
  <c r="H67" i="1" s="1"/>
  <c r="G62" i="1"/>
  <c r="G63" i="1"/>
  <c r="G64" i="1"/>
  <c r="G65" i="1"/>
  <c r="G66" i="1"/>
  <c r="G67" i="1"/>
  <c r="G68" i="1"/>
  <c r="H74" i="1" s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8" i="1"/>
  <c r="G89" i="1"/>
  <c r="G90" i="1"/>
  <c r="G91" i="1"/>
  <c r="G92" i="1"/>
  <c r="G93" i="1"/>
  <c r="G94" i="1"/>
  <c r="G95" i="1"/>
  <c r="G96" i="1"/>
  <c r="G97" i="1"/>
  <c r="G6" i="1"/>
  <c r="L74" i="1"/>
  <c r="L73" i="1"/>
  <c r="H102" i="1" l="1"/>
  <c r="H95" i="1"/>
  <c r="H88" i="1"/>
  <c r="H81" i="1"/>
  <c r="L72" i="1"/>
  <c r="L71" i="1"/>
  <c r="L70" i="1"/>
  <c r="L69" i="1" l="1"/>
  <c r="L68" i="1"/>
  <c r="L67" i="1"/>
  <c r="L66" i="1"/>
  <c r="L65" i="1"/>
  <c r="L64" i="1"/>
  <c r="L63" i="1" l="1"/>
  <c r="L62" i="1"/>
  <c r="L61" i="1"/>
  <c r="L60" i="1"/>
  <c r="L59" i="1"/>
  <c r="L58" i="1"/>
  <c r="L57" i="1" l="1"/>
  <c r="L56" i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6" i="1" l="1"/>
  <c r="M6" i="1" s="1"/>
  <c r="K7" i="1"/>
  <c r="M7" i="1" s="1"/>
  <c r="K8" i="1"/>
  <c r="M8" i="1" s="1"/>
  <c r="K9" i="1"/>
  <c r="M9" i="1"/>
  <c r="K10" i="1"/>
  <c r="M10" i="1" s="1"/>
  <c r="K11" i="1"/>
  <c r="M11" i="1"/>
  <c r="K12" i="1"/>
  <c r="M12" i="1" s="1"/>
  <c r="K13" i="1"/>
  <c r="M13" i="1" s="1"/>
  <c r="K14" i="1"/>
  <c r="M14" i="1" s="1"/>
  <c r="K15" i="1"/>
  <c r="M15" i="1"/>
  <c r="K16" i="1"/>
  <c r="M16" i="1" s="1"/>
  <c r="K17" i="1"/>
  <c r="M17" i="1"/>
  <c r="K18" i="1"/>
  <c r="M18" i="1" s="1"/>
  <c r="K19" i="1"/>
  <c r="M19" i="1"/>
  <c r="K20" i="1"/>
  <c r="M20" i="1" s="1"/>
  <c r="K21" i="1"/>
  <c r="M21" i="1" s="1"/>
  <c r="K22" i="1"/>
  <c r="M22" i="1" s="1"/>
  <c r="K23" i="1"/>
  <c r="M23" i="1"/>
  <c r="K24" i="1"/>
  <c r="M24" i="1" s="1"/>
  <c r="K25" i="1"/>
  <c r="M25" i="1"/>
  <c r="K26" i="1"/>
  <c r="M26" i="1" s="1"/>
  <c r="K27" i="1"/>
  <c r="M27" i="1"/>
  <c r="K28" i="1"/>
  <c r="M28" i="1" s="1"/>
  <c r="K29" i="1"/>
  <c r="M29" i="1" s="1"/>
  <c r="K30" i="1"/>
  <c r="M30" i="1"/>
  <c r="K31" i="1"/>
  <c r="M31" i="1" s="1"/>
  <c r="K5" i="1" l="1"/>
  <c r="M5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32" i="1" l="1"/>
  <c r="M32" i="1" s="1"/>
  <c r="K33" i="1"/>
  <c r="M33" i="1" s="1"/>
  <c r="K34" i="1"/>
  <c r="M34" i="1" s="1"/>
  <c r="K35" i="1"/>
  <c r="M35" i="1" s="1"/>
</calcChain>
</file>

<file path=xl/sharedStrings.xml><?xml version="1.0" encoding="utf-8"?>
<sst xmlns="http://schemas.openxmlformats.org/spreadsheetml/2006/main" count="167" uniqueCount="41">
  <si>
    <t>mon</t>
  </si>
  <si>
    <t>sun</t>
  </si>
  <si>
    <t>sat</t>
  </si>
  <si>
    <t>fri</t>
  </si>
  <si>
    <t>thu</t>
  </si>
  <si>
    <t>wed</t>
  </si>
  <si>
    <t>tue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</si>
  <si>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</si>
  <si>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</si>
  <si>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</si>
  <si>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</si>
  <si>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</si>
  <si>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</si>
  <si>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</si>
  <si>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</si>
  <si>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</si>
  <si>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</si>
  <si>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0</t>
  </si>
  <si>
    <t>WEEK 11</t>
  </si>
  <si>
    <t>WEEK 12</t>
  </si>
  <si>
    <t>Globally</t>
  </si>
  <si>
    <t>Deaths</t>
  </si>
  <si>
    <t>Mortality</t>
  </si>
  <si>
    <t>COVID-19 Historical Data</t>
  </si>
  <si>
    <t>Data supplied by Chinese Government National Health Commission</t>
  </si>
  <si>
    <t>blended average:</t>
  </si>
  <si>
    <t>Blended Mortality Rate:</t>
  </si>
  <si>
    <t>Current Mortality Rate:</t>
  </si>
  <si>
    <t>Outside China</t>
  </si>
  <si>
    <t>Within China</t>
  </si>
  <si>
    <t>+ daily</t>
  </si>
  <si>
    <t>'+ daily</t>
  </si>
  <si>
    <t>+ weekly</t>
  </si>
  <si>
    <r>
      <t xml:space="preserve">            </t>
    </r>
    <r>
      <rPr>
        <sz val="10"/>
        <color theme="1"/>
        <rFont val="SF Compact Text Light"/>
      </rPr>
      <t>Data supplied by Chinese Government National Health Commission</t>
    </r>
  </si>
  <si>
    <t>WEEK 13</t>
  </si>
  <si>
    <t>WEEK 14</t>
  </si>
  <si>
    <t>WEEK 15</t>
  </si>
  <si>
    <t>WEEK 16</t>
  </si>
  <si>
    <t>WEEK 17</t>
  </si>
  <si>
    <t>WEEK 18</t>
  </si>
  <si>
    <t>Courtesy of TobySimkin.com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</si>
</sst>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SF Compact Text Light"/>
    </font>
    <font>
      <sz val="10"/>
      <color theme="1"/>
      <name val="SF Compact Text Light"/>
    </font>
    <font>
      <b/>
      <sz val="10"/>
      <color theme="1"/>
      <name val="SF Compact Text Light"/>
    </font>
    <font>
      <sz val="24"/>
      <color theme="1"/>
      <name val="SF Compact Text Light"/>
    </font>
    <font>
      <sz val="12"/>
      <color theme="1"/>
      <name val="Courier"/>
      <family val="1"/>
    </font>
    <font>
      <b/>
      <sz val="12"/>
      <color rgb="FFFF0000"/>
      <name val="SF Compact Text Light"/>
    </font>
    <font>
      <b/>
      <sz val="9"/>
      <color theme="1"/>
      <name val="SF Compact Text Light"/>
    </font>
    <font>
      <sz val="22"/>
      <color theme="0" tint="-0.499984740745262"/>
      <name val="SF Compact Text Light"/>
    </font>
    <font>
      <sz val="9"/>
      <color theme="1" tint="0.499984740745262"/>
      <name val="SF Compact Text Light"/>
    </font>
    <font>
      <b/>
      <sz val="9"/>
      <color rgb="FFFF0000"/>
      <name val="SF Compact Text Light"/>
    </font>
    <font>
      <sz val="12"/>
      <color rgb="FFFF0000"/>
      <name val="Courier"/>
      <family val="1"/>
    </font>
    <font>
      <b/>
      <sz val="9"/>
      <color theme="4"/>
      <name val="SF Compact Text Light"/>
    </font>
    <font>
      <sz val="12"/>
      <color theme="4"/>
      <name val="Courier"/>
      <family val="1"/>
    </font>
    <font>
      <sz val="8"/>
      <color theme="1"/>
      <name val="SF Compact Text Light"/>
    </font>
    <font>
      <sz val="8"/>
      <color theme="1" tint="0.499984740745262"/>
      <name val="SF Compact Text Light"/>
    </font>
    <font>
      <b/>
      <i/>
      <sz val="8"/>
      <color rgb="FFFF0000"/>
      <name val="SF Compact Text Light"/>
    </font>
    <font>
      <sz val="8"/>
      <color rgb="FFFF0000"/>
      <name val="Courier"/>
      <family val="1"/>
    </font>
    <font>
      <b/>
      <i/>
      <sz val="8"/>
      <color theme="4"/>
      <name val="SF Compact Text Light"/>
    </font>
    <font>
      <sz val="8"/>
      <color theme="4"/>
      <name val="Courier"/>
      <family val="1"/>
    </font>
    <font>
      <b/>
      <sz val="9"/>
      <color theme="9"/>
      <name val="SF Compact Text Light"/>
    </font>
    <font>
      <sz val="12"/>
      <color theme="9"/>
      <name val="Courier"/>
      <family val="1"/>
    </font>
    <font>
      <b/>
      <sz val="9"/>
      <color rgb="FF7030A0"/>
      <name val="SF Compact Text Light"/>
    </font>
    <font>
      <sz val="12"/>
      <color rgb="FF7030A0"/>
      <name val="Courier"/>
      <family val="1"/>
    </font>
    <font>
      <b/>
      <sz val="16"/>
      <color rgb="FFC00000"/>
      <name val="SF Compact Text Light"/>
    </font>
    <font>
      <sz val="8"/>
      <color theme="1"/>
      <name val="Courier"/>
      <family val="1"/>
    </font>
    <font>
      <sz val="12"/>
      <color theme="0" tint="-4.9989318521683403E-2"/>
      <name val="SF Compact Text Light"/>
    </font>
    <font>
      <b/>
      <i/>
      <sz val="12"/>
      <color theme="0" tint="-0.249977111117893"/>
      <name val="SF Compact Text Ligh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" fontId="3" fillId="0" borderId="0" xfId="0" applyNumberFormat="1" applyFont="1"/>
    <xf numFmtId="10" fontId="3" fillId="0" borderId="0" xfId="2" applyNumberFormat="1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/>
    </xf>
    <xf numFmtId="16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16" fontId="3" fillId="0" borderId="0" xfId="0" applyNumberFormat="1" applyFont="1" applyBorder="1"/>
    <xf numFmtId="0" fontId="3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vertical="top"/>
    </xf>
    <xf numFmtId="44" fontId="3" fillId="0" borderId="0" xfId="3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16" fontId="3" fillId="0" borderId="1" xfId="0" applyNumberFormat="1" applyFont="1" applyBorder="1"/>
    <xf numFmtId="10" fontId="8" fillId="0" borderId="0" xfId="2" applyNumberFormat="1" applyFont="1" applyBorder="1"/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 textRotation="90"/>
    </xf>
    <xf numFmtId="0" fontId="11" fillId="0" borderId="0" xfId="0" applyFont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right"/>
    </xf>
    <xf numFmtId="0" fontId="3" fillId="0" borderId="1" xfId="0" applyFont="1" applyBorder="1"/>
    <xf numFmtId="0" fontId="12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3" fillId="0" borderId="6" xfId="1" applyNumberFormat="1" applyFont="1" applyBorder="1" applyAlignment="1">
      <alignment horizontal="right" vertical="center"/>
    </xf>
    <xf numFmtId="3" fontId="13" fillId="0" borderId="1" xfId="1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3" fontId="15" fillId="0" borderId="0" xfId="1" applyNumberFormat="1" applyFont="1" applyBorder="1" applyAlignment="1">
      <alignment horizontal="right" vertical="center"/>
    </xf>
    <xf numFmtId="3" fontId="15" fillId="0" borderId="6" xfId="1" applyNumberFormat="1" applyFont="1" applyBorder="1" applyAlignment="1">
      <alignment horizontal="right" vertical="center"/>
    </xf>
    <xf numFmtId="3" fontId="15" fillId="0" borderId="1" xfId="1" applyNumberFormat="1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2" xfId="0" quotePrefix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quotePrefix="1" applyFont="1" applyAlignment="1">
      <alignment horizontal="right" vertical="center"/>
    </xf>
    <xf numFmtId="0" fontId="19" fillId="0" borderId="1" xfId="0" quotePrefix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3" fontId="23" fillId="0" borderId="1" xfId="1" applyNumberFormat="1" applyFont="1" applyBorder="1" applyAlignment="1">
      <alignment horizontal="right" vertical="center"/>
    </xf>
    <xf numFmtId="3" fontId="23" fillId="0" borderId="6" xfId="1" applyNumberFormat="1" applyFont="1" applyBorder="1" applyAlignment="1">
      <alignment horizontal="right" vertical="center"/>
    </xf>
    <xf numFmtId="3" fontId="23" fillId="0" borderId="0" xfId="1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10" fontId="25" fillId="0" borderId="0" xfId="2" applyNumberFormat="1" applyFont="1" applyAlignment="1">
      <alignment vertical="center"/>
    </xf>
    <xf numFmtId="10" fontId="25" fillId="0" borderId="1" xfId="2" applyNumberFormat="1" applyFont="1" applyBorder="1" applyAlignment="1">
      <alignment vertical="center"/>
    </xf>
    <xf numFmtId="10" fontId="25" fillId="0" borderId="6" xfId="2" applyNumberFormat="1" applyFont="1" applyBorder="1" applyAlignment="1">
      <alignment vertical="center"/>
    </xf>
    <xf numFmtId="10" fontId="25" fillId="0" borderId="0" xfId="2" applyNumberFormat="1" applyFont="1" applyBorder="1" applyAlignment="1">
      <alignment vertical="center"/>
    </xf>
    <xf numFmtId="10" fontId="26" fillId="0" borderId="5" xfId="2" applyNumberFormat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3" fontId="15" fillId="0" borderId="1" xfId="1" applyNumberFormat="1" applyFont="1" applyBorder="1"/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19" fillId="0" borderId="6" xfId="0" quotePrefix="1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29" fillId="0" borderId="0" xfId="0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1CBCB"/>
      <color rgb="FFCD4743"/>
      <color rgb="FFCD1D1D"/>
      <color rgb="FFCD1D1C"/>
      <color rgb="FFF2393B"/>
      <color rgb="FFFF8800"/>
      <color rgb="FF178B50"/>
      <color rgb="FFCA3E81"/>
      <color rgb="FF66666C"/>
      <color rgb="FFF452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/>
              <a:t>COVID-19</a:t>
            </a:r>
            <a:br>
              <a:rPr lang="en-US" sz="2800" b="1"/>
            </a:br>
            <a:r>
              <a:rPr lang="en-US" sz="2000" b="1"/>
              <a:t>Confirmed 'reported'</a:t>
            </a:r>
          </a:p>
          <a:p>
            <a:pPr>
              <a:defRPr sz="2800" b="1"/>
            </a:pPr>
            <a:r>
              <a:rPr lang="en-US" sz="2800" b="1" baseline="0"/>
              <a:t>Death Toll</a:t>
            </a:r>
          </a:p>
        </c:rich>
      </c:tx>
      <c:layout>
        <c:manualLayout>
          <c:xMode val="edge"/>
          <c:yMode val="edge"/>
          <c:x val="0.21089260893213269"/>
          <c:y val="0.17336811937748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767785426636"/>
          <c:y val="1.6673933834245959E-2"/>
          <c:w val="0.84902443178384435"/>
          <c:h val="0.88367292285480037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'COVID-19 Stats'!$D$5:$D$137</c:f>
              <c:numCache>
                <c:formatCode>d\-mmm</c:formatCode>
                <c:ptCount val="133"/>
                <c:pt idx="0">
                  <c:v>43843</c:v>
                </c:pt>
                <c:pt idx="1">
                  <c:v>43844</c:v>
                </c:pt>
                <c:pt idx="2">
                  <c:v>43845</c:v>
                </c:pt>
                <c:pt idx="3">
                  <c:v>43846</c:v>
                </c:pt>
                <c:pt idx="4">
                  <c:v>43847</c:v>
                </c:pt>
                <c:pt idx="5">
                  <c:v>43848</c:v>
                </c:pt>
                <c:pt idx="6">
                  <c:v>43849</c:v>
                </c:pt>
                <c:pt idx="7">
                  <c:v>43850</c:v>
                </c:pt>
                <c:pt idx="8">
                  <c:v>43851</c:v>
                </c:pt>
                <c:pt idx="9">
                  <c:v>43852</c:v>
                </c:pt>
                <c:pt idx="10">
                  <c:v>43853</c:v>
                </c:pt>
                <c:pt idx="11">
                  <c:v>43854</c:v>
                </c:pt>
                <c:pt idx="12">
                  <c:v>43855</c:v>
                </c:pt>
                <c:pt idx="13">
                  <c:v>43856</c:v>
                </c:pt>
                <c:pt idx="14">
                  <c:v>43857</c:v>
                </c:pt>
                <c:pt idx="15">
                  <c:v>43858</c:v>
                </c:pt>
                <c:pt idx="16">
                  <c:v>43859</c:v>
                </c:pt>
                <c:pt idx="17">
                  <c:v>43860</c:v>
                </c:pt>
                <c:pt idx="18">
                  <c:v>43861</c:v>
                </c:pt>
                <c:pt idx="19">
                  <c:v>43862</c:v>
                </c:pt>
                <c:pt idx="20">
                  <c:v>43863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43869</c:v>
                </c:pt>
                <c:pt idx="27">
                  <c:v>43870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43876</c:v>
                </c:pt>
                <c:pt idx="34">
                  <c:v>43877</c:v>
                </c:pt>
                <c:pt idx="35">
                  <c:v>43878</c:v>
                </c:pt>
                <c:pt idx="36">
                  <c:v>43879</c:v>
                </c:pt>
                <c:pt idx="37">
                  <c:v>43880</c:v>
                </c:pt>
                <c:pt idx="38">
                  <c:v>43881</c:v>
                </c:pt>
                <c:pt idx="39">
                  <c:v>43882</c:v>
                </c:pt>
                <c:pt idx="40">
                  <c:v>43883</c:v>
                </c:pt>
                <c:pt idx="41">
                  <c:v>43884</c:v>
                </c:pt>
                <c:pt idx="42">
                  <c:v>43885</c:v>
                </c:pt>
                <c:pt idx="43">
                  <c:v>43886</c:v>
                </c:pt>
                <c:pt idx="44">
                  <c:v>43887</c:v>
                </c:pt>
                <c:pt idx="45">
                  <c:v>43888</c:v>
                </c:pt>
                <c:pt idx="46">
                  <c:v>43889</c:v>
                </c:pt>
                <c:pt idx="47">
                  <c:v>43890</c:v>
                </c:pt>
                <c:pt idx="48">
                  <c:v>43891</c:v>
                </c:pt>
                <c:pt idx="49">
                  <c:v>43892</c:v>
                </c:pt>
                <c:pt idx="50">
                  <c:v>43893</c:v>
                </c:pt>
                <c:pt idx="51">
                  <c:v>43894</c:v>
                </c:pt>
                <c:pt idx="52">
                  <c:v>43895</c:v>
                </c:pt>
                <c:pt idx="53">
                  <c:v>43896</c:v>
                </c:pt>
                <c:pt idx="54">
                  <c:v>43897</c:v>
                </c:pt>
                <c:pt idx="55">
                  <c:v>43898</c:v>
                </c:pt>
                <c:pt idx="56">
                  <c:v>43899</c:v>
                </c:pt>
                <c:pt idx="57">
                  <c:v>43900</c:v>
                </c:pt>
                <c:pt idx="58">
                  <c:v>43901</c:v>
                </c:pt>
                <c:pt idx="59">
                  <c:v>43902</c:v>
                </c:pt>
                <c:pt idx="60">
                  <c:v>43903</c:v>
                </c:pt>
                <c:pt idx="61">
                  <c:v>43904</c:v>
                </c:pt>
                <c:pt idx="62">
                  <c:v>43905</c:v>
                </c:pt>
                <c:pt idx="63">
                  <c:v>43906</c:v>
                </c:pt>
                <c:pt idx="64">
                  <c:v>43907</c:v>
                </c:pt>
                <c:pt idx="65">
                  <c:v>43908</c:v>
                </c:pt>
                <c:pt idx="66">
                  <c:v>43909</c:v>
                </c:pt>
                <c:pt idx="67">
                  <c:v>43910</c:v>
                </c:pt>
                <c:pt idx="68">
                  <c:v>43911</c:v>
                </c:pt>
                <c:pt idx="69">
                  <c:v>43912</c:v>
                </c:pt>
                <c:pt idx="70">
                  <c:v>43913</c:v>
                </c:pt>
                <c:pt idx="71">
                  <c:v>43914</c:v>
                </c:pt>
                <c:pt idx="72">
                  <c:v>43915</c:v>
                </c:pt>
                <c:pt idx="73">
                  <c:v>43916</c:v>
                </c:pt>
                <c:pt idx="74">
                  <c:v>43917</c:v>
                </c:pt>
                <c:pt idx="75">
                  <c:v>43918</c:v>
                </c:pt>
                <c:pt idx="76">
                  <c:v>43919</c:v>
                </c:pt>
                <c:pt idx="77">
                  <c:v>43920</c:v>
                </c:pt>
                <c:pt idx="78">
                  <c:v>43921</c:v>
                </c:pt>
                <c:pt idx="79">
                  <c:v>43922</c:v>
                </c:pt>
                <c:pt idx="80">
                  <c:v>43923</c:v>
                </c:pt>
                <c:pt idx="81">
                  <c:v>43924</c:v>
                </c:pt>
                <c:pt idx="82">
                  <c:v>43925</c:v>
                </c:pt>
                <c:pt idx="83">
                  <c:v>43926</c:v>
                </c:pt>
                <c:pt idx="84">
                  <c:v>43927</c:v>
                </c:pt>
                <c:pt idx="85">
                  <c:v>43928</c:v>
                </c:pt>
                <c:pt idx="86">
                  <c:v>43929</c:v>
                </c:pt>
                <c:pt idx="87">
                  <c:v>43930</c:v>
                </c:pt>
                <c:pt idx="88">
                  <c:v>43931</c:v>
                </c:pt>
                <c:pt idx="89">
                  <c:v>43932</c:v>
                </c:pt>
                <c:pt idx="90">
                  <c:v>43933</c:v>
                </c:pt>
                <c:pt idx="91">
                  <c:v>43934</c:v>
                </c:pt>
                <c:pt idx="92">
                  <c:v>43935</c:v>
                </c:pt>
                <c:pt idx="93">
                  <c:v>43936</c:v>
                </c:pt>
                <c:pt idx="94">
                  <c:v>43937</c:v>
                </c:pt>
                <c:pt idx="95">
                  <c:v>43938</c:v>
                </c:pt>
                <c:pt idx="96">
                  <c:v>43939</c:v>
                </c:pt>
                <c:pt idx="97">
                  <c:v>43940</c:v>
                </c:pt>
                <c:pt idx="98">
                  <c:v>43941</c:v>
                </c:pt>
                <c:pt idx="99">
                  <c:v>43942</c:v>
                </c:pt>
                <c:pt idx="100">
                  <c:v>43943</c:v>
                </c:pt>
                <c:pt idx="101">
                  <c:v>43944</c:v>
                </c:pt>
                <c:pt idx="102">
                  <c:v>43945</c:v>
                </c:pt>
                <c:pt idx="103">
                  <c:v>43946</c:v>
                </c:pt>
                <c:pt idx="104">
                  <c:v>43947</c:v>
                </c:pt>
                <c:pt idx="105">
                  <c:v>43948</c:v>
                </c:pt>
                <c:pt idx="106">
                  <c:v>43949</c:v>
                </c:pt>
                <c:pt idx="107">
                  <c:v>43950</c:v>
                </c:pt>
                <c:pt idx="108">
                  <c:v>43951</c:v>
                </c:pt>
                <c:pt idx="109">
                  <c:v>43952</c:v>
                </c:pt>
                <c:pt idx="110">
                  <c:v>43953</c:v>
                </c:pt>
                <c:pt idx="111">
                  <c:v>43954</c:v>
                </c:pt>
                <c:pt idx="112">
                  <c:v>43955</c:v>
                </c:pt>
                <c:pt idx="113">
                  <c:v>43956</c:v>
                </c:pt>
                <c:pt idx="114">
                  <c:v>43957</c:v>
                </c:pt>
                <c:pt idx="115">
                  <c:v>43958</c:v>
                </c:pt>
                <c:pt idx="116">
                  <c:v>43959</c:v>
                </c:pt>
                <c:pt idx="117">
                  <c:v>43960</c:v>
                </c:pt>
                <c:pt idx="118">
                  <c:v>43961</c:v>
                </c:pt>
                <c:pt idx="119">
                  <c:v>43962</c:v>
                </c:pt>
                <c:pt idx="120">
                  <c:v>43963</c:v>
                </c:pt>
                <c:pt idx="121">
                  <c:v>43964</c:v>
                </c:pt>
                <c:pt idx="122">
                  <c:v>43965</c:v>
                </c:pt>
                <c:pt idx="123">
                  <c:v>43966</c:v>
                </c:pt>
                <c:pt idx="124">
                  <c:v>43967</c:v>
                </c:pt>
                <c:pt idx="125">
                  <c:v>43968</c:v>
                </c:pt>
                <c:pt idx="126">
                  <c:v>43969</c:v>
                </c:pt>
                <c:pt idx="127">
                  <c:v>43970</c:v>
                </c:pt>
                <c:pt idx="128">
                  <c:v>43971</c:v>
                </c:pt>
                <c:pt idx="129">
                  <c:v>43972</c:v>
                </c:pt>
                <c:pt idx="130">
                  <c:v>43973</c:v>
                </c:pt>
                <c:pt idx="131">
                  <c:v>43974</c:v>
                </c:pt>
                <c:pt idx="132">
                  <c:v>43975</c:v>
                </c:pt>
              </c:numCache>
            </c:numRef>
          </c:cat>
          <c:val>
            <c:numRef>
              <c:f>'COVID-19 Stats'!$L$5:$L$137</c:f>
              <c:numCache>
                <c:formatCode>General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 formatCode="#,##0">
                  <c:v>2</c:v>
                </c:pt>
                <c:pt idx="7" formatCode="#,##0">
                  <c:v>4</c:v>
                </c:pt>
                <c:pt idx="8" formatCode="#,##0">
                  <c:v>6</c:v>
                </c:pt>
                <c:pt idx="9" formatCode="#,##0">
                  <c:v>8</c:v>
                </c:pt>
                <c:pt idx="10" formatCode="#,##0">
                  <c:v>17</c:v>
                </c:pt>
                <c:pt idx="11" formatCode="#,##0">
                  <c:v>25</c:v>
                </c:pt>
                <c:pt idx="12" formatCode="#,##0">
                  <c:v>41</c:v>
                </c:pt>
                <c:pt idx="13" formatCode="#,##0">
                  <c:v>56</c:v>
                </c:pt>
                <c:pt idx="14" formatCode="#,##0">
                  <c:v>80</c:v>
                </c:pt>
                <c:pt idx="15" formatCode="#,##0">
                  <c:v>106</c:v>
                </c:pt>
                <c:pt idx="16" formatCode="#,##0">
                  <c:v>132</c:v>
                </c:pt>
                <c:pt idx="17" formatCode="#,##0">
                  <c:v>170</c:v>
                </c:pt>
                <c:pt idx="18" formatCode="#,##0">
                  <c:v>190</c:v>
                </c:pt>
                <c:pt idx="19" formatCode="#,##0">
                  <c:v>259</c:v>
                </c:pt>
                <c:pt idx="20" formatCode="#,##0">
                  <c:v>304</c:v>
                </c:pt>
                <c:pt idx="21" formatCode="#,##0">
                  <c:v>361</c:v>
                </c:pt>
                <c:pt idx="22" formatCode="#,##0">
                  <c:v>425</c:v>
                </c:pt>
                <c:pt idx="23" formatCode="#,##0">
                  <c:v>492</c:v>
                </c:pt>
                <c:pt idx="24" formatCode="#,##0">
                  <c:v>564</c:v>
                </c:pt>
                <c:pt idx="25" formatCode="#,##0">
                  <c:v>637</c:v>
                </c:pt>
                <c:pt idx="26" formatCode="#,##0">
                  <c:v>723</c:v>
                </c:pt>
                <c:pt idx="27" formatCode="#,##0">
                  <c:v>813</c:v>
                </c:pt>
                <c:pt idx="28" formatCode="#,##0">
                  <c:v>909</c:v>
                </c:pt>
                <c:pt idx="29" formatCode="#,##0">
                  <c:v>1017</c:v>
                </c:pt>
                <c:pt idx="30" formatCode="#,##0">
                  <c:v>1114</c:v>
                </c:pt>
                <c:pt idx="31" formatCode="#,##0">
                  <c:v>1368</c:v>
                </c:pt>
                <c:pt idx="32" formatCode="#,##0">
                  <c:v>1381</c:v>
                </c:pt>
                <c:pt idx="33" formatCode="#,##0">
                  <c:v>1524</c:v>
                </c:pt>
                <c:pt idx="34" formatCode="#,##0">
                  <c:v>1666</c:v>
                </c:pt>
                <c:pt idx="35" formatCode="#,##0">
                  <c:v>1772</c:v>
                </c:pt>
                <c:pt idx="36" formatCode="#,##0">
                  <c:v>1871</c:v>
                </c:pt>
                <c:pt idx="37" formatCode="#,##0">
                  <c:v>2009</c:v>
                </c:pt>
                <c:pt idx="38" formatCode="#,##0">
                  <c:v>2121</c:v>
                </c:pt>
                <c:pt idx="39" formatCode="#,##0">
                  <c:v>2239</c:v>
                </c:pt>
                <c:pt idx="40" formatCode="#,##0">
                  <c:v>2348</c:v>
                </c:pt>
                <c:pt idx="41" formatCode="#,##0">
                  <c:v>2445</c:v>
                </c:pt>
                <c:pt idx="42" formatCode="#,##0">
                  <c:v>2595</c:v>
                </c:pt>
                <c:pt idx="43" formatCode="#,##0">
                  <c:v>2666</c:v>
                </c:pt>
                <c:pt idx="44" formatCode="#,##0">
                  <c:v>2718</c:v>
                </c:pt>
                <c:pt idx="45" formatCode="#,##0">
                  <c:v>2747</c:v>
                </c:pt>
                <c:pt idx="46" formatCode="#,##0">
                  <c:v>2791</c:v>
                </c:pt>
                <c:pt idx="47" formatCode="#,##0">
                  <c:v>2838</c:v>
                </c:pt>
                <c:pt idx="48" formatCode="#,##0">
                  <c:v>2976</c:v>
                </c:pt>
                <c:pt idx="49" formatCode="#,##0">
                  <c:v>3055</c:v>
                </c:pt>
                <c:pt idx="50" formatCode="#,##0">
                  <c:v>3120</c:v>
                </c:pt>
                <c:pt idx="51" formatCode="#,##0">
                  <c:v>3203</c:v>
                </c:pt>
                <c:pt idx="52" formatCode="#,##0">
                  <c:v>3288</c:v>
                </c:pt>
                <c:pt idx="53" formatCode="#,##0">
                  <c:v>3386</c:v>
                </c:pt>
                <c:pt idx="54" formatCode="#,##0">
                  <c:v>3493</c:v>
                </c:pt>
                <c:pt idx="55" formatCode="#,##0">
                  <c:v>3601</c:v>
                </c:pt>
                <c:pt idx="56" formatCode="#,##0">
                  <c:v>3830</c:v>
                </c:pt>
                <c:pt idx="57" formatCode="#,##0">
                  <c:v>4029</c:v>
                </c:pt>
                <c:pt idx="58" formatCode="#,##0">
                  <c:v>4300</c:v>
                </c:pt>
                <c:pt idx="59" formatCode="#,##0">
                  <c:v>4637</c:v>
                </c:pt>
                <c:pt idx="60" formatCode="#,##0">
                  <c:v>4986</c:v>
                </c:pt>
                <c:pt idx="61" formatCode="#,##0">
                  <c:v>5430</c:v>
                </c:pt>
                <c:pt idx="62" formatCode="#,##0">
                  <c:v>5825</c:v>
                </c:pt>
                <c:pt idx="63" formatCode="#,##0">
                  <c:v>6412</c:v>
                </c:pt>
                <c:pt idx="64" formatCode="#,##0">
                  <c:v>7101</c:v>
                </c:pt>
                <c:pt idx="65" formatCode="#,##0">
                  <c:v>7952</c:v>
                </c:pt>
                <c:pt idx="66" formatCode="#,##0">
                  <c:v>8944</c:v>
                </c:pt>
                <c:pt idx="67" formatCode="#,##0">
                  <c:v>9958</c:v>
                </c:pt>
                <c:pt idx="68" formatCode="#,##0">
                  <c:v>11385</c:v>
                </c:pt>
                <c:pt idx="69" formatCode="#,##0">
                  <c:v>12995</c:v>
                </c:pt>
                <c:pt idx="70" formatCode="#,##0">
                  <c:v>14701</c:v>
                </c:pt>
                <c:pt idx="71" formatCode="#,##0">
                  <c:v>16402</c:v>
                </c:pt>
                <c:pt idx="72" formatCode="#,##0">
                  <c:v>18887</c:v>
                </c:pt>
                <c:pt idx="73" formatCode="#,##0">
                  <c:v>21159</c:v>
                </c:pt>
                <c:pt idx="74" formatCode="#,##0">
                  <c:v>23720</c:v>
                </c:pt>
                <c:pt idx="75" formatCode="#,##0">
                  <c:v>27328</c:v>
                </c:pt>
                <c:pt idx="76" formatCode="#,##0">
                  <c:v>30874</c:v>
                </c:pt>
                <c:pt idx="77" formatCode="#,##0">
                  <c:v>35032</c:v>
                </c:pt>
                <c:pt idx="78" formatCode="#,##0">
                  <c:v>37834</c:v>
                </c:pt>
                <c:pt idx="79" formatCode="#,##0">
                  <c:v>44226</c:v>
                </c:pt>
                <c:pt idx="80" formatCode="#,##0">
                  <c:v>47282</c:v>
                </c:pt>
                <c:pt idx="81" formatCode="#,##0">
                  <c:v>53984</c:v>
                </c:pt>
                <c:pt idx="82" formatCode="#,##0">
                  <c:v>59148</c:v>
                </c:pt>
                <c:pt idx="83" formatCode="#,##0">
                  <c:v>64812</c:v>
                </c:pt>
                <c:pt idx="84" formatCode="#,##0">
                  <c:v>70608</c:v>
                </c:pt>
                <c:pt idx="85" formatCode="#,##0">
                  <c:v>74831</c:v>
                </c:pt>
                <c:pt idx="86" formatCode="#,##0">
                  <c:v>82226</c:v>
                </c:pt>
                <c:pt idx="87" formatCode="#,##0">
                  <c:v>89423</c:v>
                </c:pt>
                <c:pt idx="88" formatCode="#,##0">
                  <c:v>95813</c:v>
                </c:pt>
                <c:pt idx="89" formatCode="#,##0">
                  <c:v>106888</c:v>
                </c:pt>
                <c:pt idx="90" formatCode="#,##0">
                  <c:v>108870</c:v>
                </c:pt>
                <c:pt idx="91" formatCode="#,##0">
                  <c:v>114094</c:v>
                </c:pt>
                <c:pt idx="92" formatCode="#,##0">
                  <c:v>119535</c:v>
                </c:pt>
                <c:pt idx="93" formatCode="#,##0">
                  <c:v>126554</c:v>
                </c:pt>
                <c:pt idx="94" formatCode="#,##0">
                  <c:v>138103</c:v>
                </c:pt>
                <c:pt idx="95" formatCode="#,##0">
                  <c:v>145532</c:v>
                </c:pt>
                <c:pt idx="96" formatCode="#,##0">
                  <c:v>154208</c:v>
                </c:pt>
                <c:pt idx="97" formatCode="#,##0">
                  <c:v>160576</c:v>
                </c:pt>
                <c:pt idx="98" formatCode="#,##0">
                  <c:v>165260</c:v>
                </c:pt>
                <c:pt idx="99" formatCode="#,##0">
                  <c:v>170284</c:v>
                </c:pt>
                <c:pt idx="100" formatCode="#,##0">
                  <c:v>173681</c:v>
                </c:pt>
                <c:pt idx="101" formatCode="#,##0">
                  <c:v>184452</c:v>
                </c:pt>
                <c:pt idx="102" formatCode="#,##0">
                  <c:v>193029</c:v>
                </c:pt>
                <c:pt idx="103" formatCode="#,##0">
                  <c:v>203324</c:v>
                </c:pt>
                <c:pt idx="104" formatCode="#,##0">
                  <c:v>207070</c:v>
                </c:pt>
                <c:pt idx="105" formatCode="#,##0">
                  <c:v>211790</c:v>
                </c:pt>
                <c:pt idx="106" formatCode="#,##0">
                  <c:v>218134</c:v>
                </c:pt>
                <c:pt idx="107" formatCode="#,##0">
                  <c:v>218888</c:v>
                </c:pt>
                <c:pt idx="108" formatCode="#,##0">
                  <c:v>224394</c:v>
                </c:pt>
                <c:pt idx="109" formatCode="#,##0">
                  <c:v>234258</c:v>
                </c:pt>
                <c:pt idx="110" formatCode="#,##0">
                  <c:v>239753</c:v>
                </c:pt>
                <c:pt idx="111" formatCode="#,##0">
                  <c:v>244704</c:v>
                </c:pt>
                <c:pt idx="112" formatCode="#,##0">
                  <c:v>248362</c:v>
                </c:pt>
                <c:pt idx="113" formatCode="#,##0">
                  <c:v>252532</c:v>
                </c:pt>
                <c:pt idx="114" formatCode="#,##0">
                  <c:v>258464</c:v>
                </c:pt>
                <c:pt idx="115" formatCode="#,##0">
                  <c:v>265177</c:v>
                </c:pt>
                <c:pt idx="116" formatCode="#,##0">
                  <c:v>270327</c:v>
                </c:pt>
                <c:pt idx="117" formatCode="#,##0">
                  <c:v>276563</c:v>
                </c:pt>
                <c:pt idx="118" formatCode="#,##0">
                  <c:v>283928</c:v>
                </c:pt>
                <c:pt idx="119" formatCode="#,##0">
                  <c:v>283928</c:v>
                </c:pt>
                <c:pt idx="120" formatCode="#,##0">
                  <c:v>287328</c:v>
                </c:pt>
                <c:pt idx="121" formatCode="#,##0">
                  <c:v>292894</c:v>
                </c:pt>
                <c:pt idx="122" formatCode="#,##0">
                  <c:v>298238</c:v>
                </c:pt>
                <c:pt idx="123" formatCode="#,##0">
                  <c:v>303461</c:v>
                </c:pt>
                <c:pt idx="124" formatCode="#,##0">
                  <c:v>309143</c:v>
                </c:pt>
                <c:pt idx="125" formatCode="#,##0">
                  <c:v>313099</c:v>
                </c:pt>
                <c:pt idx="126" formatCode="#,##0">
                  <c:v>316636</c:v>
                </c:pt>
                <c:pt idx="127" formatCode="#,##0">
                  <c:v>320167</c:v>
                </c:pt>
                <c:pt idx="128" formatCode="#,##0">
                  <c:v>324834</c:v>
                </c:pt>
                <c:pt idx="129" formatCode="#,##0">
                  <c:v>329663</c:v>
                </c:pt>
                <c:pt idx="130" formatCode="#,##0">
                  <c:v>334620</c:v>
                </c:pt>
                <c:pt idx="131" formatCode="#,##0">
                  <c:v>340119</c:v>
                </c:pt>
                <c:pt idx="132" formatCode="#,##0">
                  <c:v>343572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18-C84C-AB3B-0685BAD37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172671"/>
        <c:axId val="1530075247"/>
      </c:lineChart>
      <c:dateAx>
        <c:axId val="148417267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075247"/>
        <c:crosses val="autoZero"/>
        <c:auto val="1"/>
        <c:lblOffset val="100"/>
        <c:baseTimeUnit val="days"/>
      </c:dateAx>
      <c:valAx>
        <c:axId val="1530075247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172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78320196008842E-2"/>
          <c:y val="9.7157783331579869E-3"/>
          <c:w val="0.90376964403613702"/>
          <c:h val="0.85457239943062302"/>
        </c:manualLayout>
      </c:layout>
      <c:areaChart>
        <c:grouping val="stacked"/>
        <c:varyColors val="0"/>
        <c:ser>
          <c:idx val="1"/>
          <c:order val="1"/>
          <c:tx>
            <c:strRef>
              <c:f>'COVID-19 Stats'!$F$4</c:f>
              <c:strCache>
                <c:ptCount val="1"/>
                <c:pt idx="0">
                  <c:v>Within China</c:v>
                </c:pt>
              </c:strCache>
            </c:strRef>
          </c:tx>
          <c:spPr>
            <a:solidFill>
              <a:srgbClr val="CD4743">
                <a:alpha val="84000"/>
              </a:srgbClr>
            </a:solidFill>
            <a:ln cmpd="sng">
              <a:solidFill>
                <a:srgbClr val="F1CBCB">
                  <a:alpha val="64000"/>
                </a:srgbClr>
              </a:solidFill>
            </a:ln>
            <a:effectLst/>
          </c:spPr>
          <c:cat>
            <c:numRef>
              <c:f>'COVID-19 Stats'!$D$5:$D$137</c:f>
              <c:numCache>
                <c:formatCode>d\-mmm</c:formatCode>
                <c:ptCount val="133"/>
                <c:pt idx="0">
                  <c:v>43843</c:v>
                </c:pt>
                <c:pt idx="1">
                  <c:v>43844</c:v>
                </c:pt>
                <c:pt idx="2">
                  <c:v>43845</c:v>
                </c:pt>
                <c:pt idx="3">
                  <c:v>43846</c:v>
                </c:pt>
                <c:pt idx="4">
                  <c:v>43847</c:v>
                </c:pt>
                <c:pt idx="5">
                  <c:v>43848</c:v>
                </c:pt>
                <c:pt idx="6">
                  <c:v>43849</c:v>
                </c:pt>
                <c:pt idx="7">
                  <c:v>43850</c:v>
                </c:pt>
                <c:pt idx="8">
                  <c:v>43851</c:v>
                </c:pt>
                <c:pt idx="9">
                  <c:v>43852</c:v>
                </c:pt>
                <c:pt idx="10">
                  <c:v>43853</c:v>
                </c:pt>
                <c:pt idx="11">
                  <c:v>43854</c:v>
                </c:pt>
                <c:pt idx="12">
                  <c:v>43855</c:v>
                </c:pt>
                <c:pt idx="13">
                  <c:v>43856</c:v>
                </c:pt>
                <c:pt idx="14">
                  <c:v>43857</c:v>
                </c:pt>
                <c:pt idx="15">
                  <c:v>43858</c:v>
                </c:pt>
                <c:pt idx="16">
                  <c:v>43859</c:v>
                </c:pt>
                <c:pt idx="17">
                  <c:v>43860</c:v>
                </c:pt>
                <c:pt idx="18">
                  <c:v>43861</c:v>
                </c:pt>
                <c:pt idx="19">
                  <c:v>43862</c:v>
                </c:pt>
                <c:pt idx="20">
                  <c:v>43863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43869</c:v>
                </c:pt>
                <c:pt idx="27">
                  <c:v>43870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43876</c:v>
                </c:pt>
                <c:pt idx="34">
                  <c:v>43877</c:v>
                </c:pt>
                <c:pt idx="35">
                  <c:v>43878</c:v>
                </c:pt>
                <c:pt idx="36">
                  <c:v>43879</c:v>
                </c:pt>
                <c:pt idx="37">
                  <c:v>43880</c:v>
                </c:pt>
                <c:pt idx="38">
                  <c:v>43881</c:v>
                </c:pt>
                <c:pt idx="39">
                  <c:v>43882</c:v>
                </c:pt>
                <c:pt idx="40">
                  <c:v>43883</c:v>
                </c:pt>
                <c:pt idx="41">
                  <c:v>43884</c:v>
                </c:pt>
                <c:pt idx="42">
                  <c:v>43885</c:v>
                </c:pt>
                <c:pt idx="43">
                  <c:v>43886</c:v>
                </c:pt>
                <c:pt idx="44">
                  <c:v>43887</c:v>
                </c:pt>
                <c:pt idx="45">
                  <c:v>43888</c:v>
                </c:pt>
                <c:pt idx="46">
                  <c:v>43889</c:v>
                </c:pt>
                <c:pt idx="47">
                  <c:v>43890</c:v>
                </c:pt>
                <c:pt idx="48">
                  <c:v>43891</c:v>
                </c:pt>
                <c:pt idx="49">
                  <c:v>43892</c:v>
                </c:pt>
                <c:pt idx="50">
                  <c:v>43893</c:v>
                </c:pt>
                <c:pt idx="51">
                  <c:v>43894</c:v>
                </c:pt>
                <c:pt idx="52">
                  <c:v>43895</c:v>
                </c:pt>
                <c:pt idx="53">
                  <c:v>43896</c:v>
                </c:pt>
                <c:pt idx="54">
                  <c:v>43897</c:v>
                </c:pt>
                <c:pt idx="55">
                  <c:v>43898</c:v>
                </c:pt>
                <c:pt idx="56">
                  <c:v>43899</c:v>
                </c:pt>
                <c:pt idx="57">
                  <c:v>43900</c:v>
                </c:pt>
                <c:pt idx="58">
                  <c:v>43901</c:v>
                </c:pt>
                <c:pt idx="59">
                  <c:v>43902</c:v>
                </c:pt>
                <c:pt idx="60">
                  <c:v>43903</c:v>
                </c:pt>
                <c:pt idx="61">
                  <c:v>43904</c:v>
                </c:pt>
                <c:pt idx="62">
                  <c:v>43905</c:v>
                </c:pt>
                <c:pt idx="63">
                  <c:v>43906</c:v>
                </c:pt>
                <c:pt idx="64">
                  <c:v>43907</c:v>
                </c:pt>
                <c:pt idx="65">
                  <c:v>43908</c:v>
                </c:pt>
                <c:pt idx="66">
                  <c:v>43909</c:v>
                </c:pt>
                <c:pt idx="67">
                  <c:v>43910</c:v>
                </c:pt>
                <c:pt idx="68">
                  <c:v>43911</c:v>
                </c:pt>
                <c:pt idx="69">
                  <c:v>43912</c:v>
                </c:pt>
                <c:pt idx="70">
                  <c:v>43913</c:v>
                </c:pt>
                <c:pt idx="71">
                  <c:v>43914</c:v>
                </c:pt>
                <c:pt idx="72">
                  <c:v>43915</c:v>
                </c:pt>
                <c:pt idx="73">
                  <c:v>43916</c:v>
                </c:pt>
                <c:pt idx="74">
                  <c:v>43917</c:v>
                </c:pt>
                <c:pt idx="75">
                  <c:v>43918</c:v>
                </c:pt>
                <c:pt idx="76">
                  <c:v>43919</c:v>
                </c:pt>
                <c:pt idx="77">
                  <c:v>43920</c:v>
                </c:pt>
                <c:pt idx="78">
                  <c:v>43921</c:v>
                </c:pt>
                <c:pt idx="79">
                  <c:v>43922</c:v>
                </c:pt>
                <c:pt idx="80">
                  <c:v>43923</c:v>
                </c:pt>
                <c:pt idx="81">
                  <c:v>43924</c:v>
                </c:pt>
                <c:pt idx="82">
                  <c:v>43925</c:v>
                </c:pt>
                <c:pt idx="83">
                  <c:v>43926</c:v>
                </c:pt>
                <c:pt idx="84">
                  <c:v>43927</c:v>
                </c:pt>
                <c:pt idx="85">
                  <c:v>43928</c:v>
                </c:pt>
                <c:pt idx="86">
                  <c:v>43929</c:v>
                </c:pt>
                <c:pt idx="87">
                  <c:v>43930</c:v>
                </c:pt>
                <c:pt idx="88">
                  <c:v>43931</c:v>
                </c:pt>
                <c:pt idx="89">
                  <c:v>43932</c:v>
                </c:pt>
                <c:pt idx="90">
                  <c:v>43933</c:v>
                </c:pt>
                <c:pt idx="91">
                  <c:v>43934</c:v>
                </c:pt>
                <c:pt idx="92">
                  <c:v>43935</c:v>
                </c:pt>
                <c:pt idx="93">
                  <c:v>43936</c:v>
                </c:pt>
                <c:pt idx="94">
                  <c:v>43937</c:v>
                </c:pt>
                <c:pt idx="95">
                  <c:v>43938</c:v>
                </c:pt>
                <c:pt idx="96">
                  <c:v>43939</c:v>
                </c:pt>
                <c:pt idx="97">
                  <c:v>43940</c:v>
                </c:pt>
                <c:pt idx="98">
                  <c:v>43941</c:v>
                </c:pt>
                <c:pt idx="99">
                  <c:v>43942</c:v>
                </c:pt>
                <c:pt idx="100">
                  <c:v>43943</c:v>
                </c:pt>
                <c:pt idx="101">
                  <c:v>43944</c:v>
                </c:pt>
                <c:pt idx="102">
                  <c:v>43945</c:v>
                </c:pt>
                <c:pt idx="103">
                  <c:v>43946</c:v>
                </c:pt>
                <c:pt idx="104">
                  <c:v>43947</c:v>
                </c:pt>
                <c:pt idx="105">
                  <c:v>43948</c:v>
                </c:pt>
                <c:pt idx="106">
                  <c:v>43949</c:v>
                </c:pt>
                <c:pt idx="107">
                  <c:v>43950</c:v>
                </c:pt>
                <c:pt idx="108">
                  <c:v>43951</c:v>
                </c:pt>
                <c:pt idx="109">
                  <c:v>43952</c:v>
                </c:pt>
                <c:pt idx="110">
                  <c:v>43953</c:v>
                </c:pt>
                <c:pt idx="111">
                  <c:v>43954</c:v>
                </c:pt>
                <c:pt idx="112">
                  <c:v>43955</c:v>
                </c:pt>
                <c:pt idx="113">
                  <c:v>43956</c:v>
                </c:pt>
                <c:pt idx="114">
                  <c:v>43957</c:v>
                </c:pt>
                <c:pt idx="115">
                  <c:v>43958</c:v>
                </c:pt>
                <c:pt idx="116">
                  <c:v>43959</c:v>
                </c:pt>
                <c:pt idx="117">
                  <c:v>43960</c:v>
                </c:pt>
                <c:pt idx="118">
                  <c:v>43961</c:v>
                </c:pt>
                <c:pt idx="119">
                  <c:v>43962</c:v>
                </c:pt>
                <c:pt idx="120">
                  <c:v>43963</c:v>
                </c:pt>
                <c:pt idx="121">
                  <c:v>43964</c:v>
                </c:pt>
                <c:pt idx="122">
                  <c:v>43965</c:v>
                </c:pt>
                <c:pt idx="123">
                  <c:v>43966</c:v>
                </c:pt>
                <c:pt idx="124">
                  <c:v>43967</c:v>
                </c:pt>
                <c:pt idx="125">
                  <c:v>43968</c:v>
                </c:pt>
                <c:pt idx="126">
                  <c:v>43969</c:v>
                </c:pt>
                <c:pt idx="127">
                  <c:v>43970</c:v>
                </c:pt>
                <c:pt idx="128">
                  <c:v>43971</c:v>
                </c:pt>
                <c:pt idx="129">
                  <c:v>43972</c:v>
                </c:pt>
                <c:pt idx="130">
                  <c:v>43973</c:v>
                </c:pt>
                <c:pt idx="131">
                  <c:v>43974</c:v>
                </c:pt>
                <c:pt idx="132">
                  <c:v>43975</c:v>
                </c:pt>
              </c:numCache>
            </c:numRef>
          </c:cat>
          <c:val>
            <c:numRef>
              <c:f>'COVID-19 Stats'!$F$5:$F$137</c:f>
              <c:numCache>
                <c:formatCode>General</c:formatCode>
                <c:ptCount val="133"/>
                <c:pt idx="0">
                  <c:v>6</c:v>
                </c:pt>
                <c:pt idx="1">
                  <c:v>6</c:v>
                </c:pt>
                <c:pt idx="2">
                  <c:v>17</c:v>
                </c:pt>
                <c:pt idx="3">
                  <c:v>21</c:v>
                </c:pt>
                <c:pt idx="4">
                  <c:v>44</c:v>
                </c:pt>
                <c:pt idx="5">
                  <c:v>68</c:v>
                </c:pt>
                <c:pt idx="6" formatCode="#,##0">
                  <c:v>97</c:v>
                </c:pt>
                <c:pt idx="7" formatCode="#,##0">
                  <c:v>130</c:v>
                </c:pt>
                <c:pt idx="8" formatCode="#,##0">
                  <c:v>278</c:v>
                </c:pt>
                <c:pt idx="9" formatCode="#,##0">
                  <c:v>309</c:v>
                </c:pt>
                <c:pt idx="10" formatCode="#,##0">
                  <c:v>571</c:v>
                </c:pt>
                <c:pt idx="11" formatCode="#,##0">
                  <c:v>830</c:v>
                </c:pt>
                <c:pt idx="12" formatCode="#,##0">
                  <c:v>1297</c:v>
                </c:pt>
                <c:pt idx="13" formatCode="#,##0">
                  <c:v>1985</c:v>
                </c:pt>
                <c:pt idx="14" formatCode="#,##0">
                  <c:v>2744</c:v>
                </c:pt>
                <c:pt idx="15" formatCode="#,##0">
                  <c:v>4529</c:v>
                </c:pt>
                <c:pt idx="16" formatCode="#,##0">
                  <c:v>6042</c:v>
                </c:pt>
                <c:pt idx="17" formatCode="#,##0">
                  <c:v>7733</c:v>
                </c:pt>
                <c:pt idx="18" formatCode="#,##0">
                  <c:v>9750</c:v>
                </c:pt>
                <c:pt idx="19" formatCode="#,##0">
                  <c:v>11860</c:v>
                </c:pt>
                <c:pt idx="20" formatCode="#,##0">
                  <c:v>14411</c:v>
                </c:pt>
                <c:pt idx="21" formatCode="#,##0">
                  <c:v>17238</c:v>
                </c:pt>
                <c:pt idx="22" formatCode="#,##0">
                  <c:v>20471</c:v>
                </c:pt>
                <c:pt idx="23" formatCode="#,##0">
                  <c:v>24363</c:v>
                </c:pt>
                <c:pt idx="24" formatCode="#,##0">
                  <c:v>28065</c:v>
                </c:pt>
                <c:pt idx="25" formatCode="#,##0">
                  <c:v>31223</c:v>
                </c:pt>
                <c:pt idx="26" formatCode="#,##0">
                  <c:v>34622</c:v>
                </c:pt>
                <c:pt idx="27" formatCode="#,##0">
                  <c:v>37252</c:v>
                </c:pt>
                <c:pt idx="28" formatCode="#,##0">
                  <c:v>40235</c:v>
                </c:pt>
                <c:pt idx="29" formatCode="#,##0">
                  <c:v>42717</c:v>
                </c:pt>
                <c:pt idx="30" formatCode="#,##0">
                  <c:v>44742</c:v>
                </c:pt>
                <c:pt idx="31" formatCode="#,##0">
                  <c:v>59885</c:v>
                </c:pt>
                <c:pt idx="32" formatCode="#,##0">
                  <c:v>63936</c:v>
                </c:pt>
                <c:pt idx="33" formatCode="#,##0">
                  <c:v>66577</c:v>
                </c:pt>
                <c:pt idx="34" formatCode="#,##0">
                  <c:v>68584</c:v>
                </c:pt>
                <c:pt idx="35" formatCode="#,##0">
                  <c:v>70639</c:v>
                </c:pt>
                <c:pt idx="36" formatCode="#,##0">
                  <c:v>72531</c:v>
                </c:pt>
                <c:pt idx="37" formatCode="#,##0">
                  <c:v>74279</c:v>
                </c:pt>
                <c:pt idx="38" formatCode="#,##0">
                  <c:v>74677</c:v>
                </c:pt>
                <c:pt idx="39" formatCode="#,##0">
                  <c:v>75570</c:v>
                </c:pt>
                <c:pt idx="40" formatCode="#,##0">
                  <c:v>76395</c:v>
                </c:pt>
                <c:pt idx="41" formatCode="#,##0">
                  <c:v>77041</c:v>
                </c:pt>
                <c:pt idx="42" formatCode="#,##0">
                  <c:v>77262</c:v>
                </c:pt>
                <c:pt idx="43" formatCode="#,##0">
                  <c:v>77782</c:v>
                </c:pt>
                <c:pt idx="44" formatCode="#,##0">
                  <c:v>78191</c:v>
                </c:pt>
                <c:pt idx="45" formatCode="#,##0">
                  <c:v>78630</c:v>
                </c:pt>
                <c:pt idx="46" formatCode="#,##0">
                  <c:v>78961</c:v>
                </c:pt>
                <c:pt idx="47" formatCode="#,##0">
                  <c:v>79394</c:v>
                </c:pt>
                <c:pt idx="48" formatCode="#,##0">
                  <c:v>79971</c:v>
                </c:pt>
                <c:pt idx="49" formatCode="#,##0">
                  <c:v>80174</c:v>
                </c:pt>
                <c:pt idx="50" formatCode="#,##0">
                  <c:v>80303</c:v>
                </c:pt>
                <c:pt idx="51" formatCode="#,##0">
                  <c:v>80424</c:v>
                </c:pt>
                <c:pt idx="52" formatCode="#,##0">
                  <c:v>80567</c:v>
                </c:pt>
                <c:pt idx="53" formatCode="#,##0">
                  <c:v>80714</c:v>
                </c:pt>
                <c:pt idx="54" formatCode="#,##0">
                  <c:v>80813</c:v>
                </c:pt>
                <c:pt idx="55" formatCode="#,##0">
                  <c:v>80864</c:v>
                </c:pt>
                <c:pt idx="56" formatCode="#,##0">
                  <c:v>80908</c:v>
                </c:pt>
                <c:pt idx="57" formatCode="#,##0">
                  <c:v>80928</c:v>
                </c:pt>
                <c:pt idx="58" formatCode="#,##0">
                  <c:v>80963</c:v>
                </c:pt>
                <c:pt idx="59" formatCode="#,##0">
                  <c:v>80981</c:v>
                </c:pt>
                <c:pt idx="60" formatCode="#,##0">
                  <c:v>81003</c:v>
                </c:pt>
                <c:pt idx="61" formatCode="#,##0">
                  <c:v>81026</c:v>
                </c:pt>
                <c:pt idx="62" formatCode="#,##0">
                  <c:v>81054</c:v>
                </c:pt>
                <c:pt idx="63" formatCode="#,##0">
                  <c:v>81078</c:v>
                </c:pt>
                <c:pt idx="64" formatCode="#,##0">
                  <c:v>81128</c:v>
                </c:pt>
                <c:pt idx="65" formatCode="#,##0">
                  <c:v>81186</c:v>
                </c:pt>
                <c:pt idx="66" formatCode="#,##0">
                  <c:v>81246</c:v>
                </c:pt>
                <c:pt idx="67" formatCode="#,##0">
                  <c:v>81337</c:v>
                </c:pt>
                <c:pt idx="68" formatCode="#,##0">
                  <c:v>81416</c:v>
                </c:pt>
                <c:pt idx="69" formatCode="#,##0">
                  <c:v>81562</c:v>
                </c:pt>
                <c:pt idx="70" formatCode="#,##0">
                  <c:v>81649</c:v>
                </c:pt>
                <c:pt idx="71" formatCode="#,##0">
                  <c:v>81753</c:v>
                </c:pt>
                <c:pt idx="72" formatCode="#,##0">
                  <c:v>81853</c:v>
                </c:pt>
                <c:pt idx="73" formatCode="#,##0">
                  <c:v>81996</c:v>
                </c:pt>
                <c:pt idx="74" formatCode="#,##0">
                  <c:v>82098</c:v>
                </c:pt>
                <c:pt idx="75" formatCode="#,##0">
                  <c:v>82279</c:v>
                </c:pt>
                <c:pt idx="76" formatCode="#,##0">
                  <c:v>82345</c:v>
                </c:pt>
                <c:pt idx="77" formatCode="#,##0">
                  <c:v>82505</c:v>
                </c:pt>
                <c:pt idx="78" formatCode="#,##0">
                  <c:v>82563</c:v>
                </c:pt>
                <c:pt idx="79" formatCode="#,##0">
                  <c:v>82691</c:v>
                </c:pt>
                <c:pt idx="80" formatCode="#,##0">
                  <c:v>82735</c:v>
                </c:pt>
                <c:pt idx="81" formatCode="#,##0">
                  <c:v>82858</c:v>
                </c:pt>
                <c:pt idx="82" formatCode="#,##0">
                  <c:v>82899</c:v>
                </c:pt>
                <c:pt idx="83" formatCode="#,##0">
                  <c:v>82938</c:v>
                </c:pt>
                <c:pt idx="84" formatCode="#,##0">
                  <c:v>83039</c:v>
                </c:pt>
                <c:pt idx="85" formatCode="#,##0">
                  <c:v>83071</c:v>
                </c:pt>
                <c:pt idx="86" formatCode="#,##0">
                  <c:v>83189</c:v>
                </c:pt>
                <c:pt idx="87" formatCode="#,##0">
                  <c:v>83264</c:v>
                </c:pt>
                <c:pt idx="88" formatCode="#,##0">
                  <c:v>83323</c:v>
                </c:pt>
                <c:pt idx="89" formatCode="#,##0">
                  <c:v>83400</c:v>
                </c:pt>
                <c:pt idx="90" formatCode="#,##0">
                  <c:v>83482</c:v>
                </c:pt>
                <c:pt idx="91" formatCode="#,##0">
                  <c:v>83597</c:v>
                </c:pt>
                <c:pt idx="92" formatCode="#,##0">
                  <c:v>83696</c:v>
                </c:pt>
                <c:pt idx="93" formatCode="#,##0">
                  <c:v>83745</c:v>
                </c:pt>
                <c:pt idx="94" formatCode="#,##0">
                  <c:v>83798</c:v>
                </c:pt>
                <c:pt idx="95" formatCode="#,##0">
                  <c:v>84149</c:v>
                </c:pt>
                <c:pt idx="96" formatCode="#,##0">
                  <c:v>84180</c:v>
                </c:pt>
                <c:pt idx="97" formatCode="#,##0">
                  <c:v>84201</c:v>
                </c:pt>
                <c:pt idx="98" formatCode="#,##0">
                  <c:v>84237</c:v>
                </c:pt>
                <c:pt idx="99" formatCode="#,##0">
                  <c:v>84271</c:v>
                </c:pt>
                <c:pt idx="100" formatCode="#,##0">
                  <c:v>84290</c:v>
                </c:pt>
                <c:pt idx="101" formatCode="#,##0">
                  <c:v>84302</c:v>
                </c:pt>
                <c:pt idx="102" formatCode="#,##0">
                  <c:v>84313</c:v>
                </c:pt>
                <c:pt idx="103" formatCode="#,##0">
                  <c:v>84338</c:v>
                </c:pt>
                <c:pt idx="104" formatCode="#,##0">
                  <c:v>84341</c:v>
                </c:pt>
                <c:pt idx="105" formatCode="#,##0">
                  <c:v>84367</c:v>
                </c:pt>
                <c:pt idx="106" formatCode="#,##0">
                  <c:v>84368</c:v>
                </c:pt>
                <c:pt idx="107" formatCode="#,##0">
                  <c:v>84369</c:v>
                </c:pt>
                <c:pt idx="108" formatCode="#,##0">
                  <c:v>84373</c:v>
                </c:pt>
                <c:pt idx="109" formatCode="#,##0">
                  <c:v>84385</c:v>
                </c:pt>
                <c:pt idx="110" formatCode="#,##0">
                  <c:v>84388</c:v>
                </c:pt>
                <c:pt idx="111" formatCode="#,##0">
                  <c:v>84393</c:v>
                </c:pt>
                <c:pt idx="112" formatCode="#,##0">
                  <c:v>84400</c:v>
                </c:pt>
                <c:pt idx="113" formatCode="#,##0">
                  <c:v>84404</c:v>
                </c:pt>
                <c:pt idx="114" formatCode="#,##0">
                  <c:v>84406</c:v>
                </c:pt>
                <c:pt idx="115" formatCode="#,##0">
                  <c:v>84409</c:v>
                </c:pt>
                <c:pt idx="116" formatCode="#,##0">
                  <c:v>84415</c:v>
                </c:pt>
                <c:pt idx="117" formatCode="#,##0">
                  <c:v>84416</c:v>
                </c:pt>
                <c:pt idx="118" formatCode="#,##0">
                  <c:v>84430</c:v>
                </c:pt>
                <c:pt idx="119" formatCode="#,##0">
                  <c:v>84450</c:v>
                </c:pt>
                <c:pt idx="120" formatCode="#,##0">
                  <c:v>84451</c:v>
                </c:pt>
                <c:pt idx="121" formatCode="#,##0">
                  <c:v>84458</c:v>
                </c:pt>
                <c:pt idx="122" formatCode="#,##0">
                  <c:v>84464</c:v>
                </c:pt>
                <c:pt idx="123" formatCode="#,##0">
                  <c:v>84469</c:v>
                </c:pt>
                <c:pt idx="124" formatCode="#,##0">
                  <c:v>84478</c:v>
                </c:pt>
                <c:pt idx="125" formatCode="#,##0">
                  <c:v>84484</c:v>
                </c:pt>
                <c:pt idx="126" formatCode="#,##0">
                  <c:v>84494</c:v>
                </c:pt>
                <c:pt idx="127" formatCode="#,##0">
                  <c:v>84503</c:v>
                </c:pt>
                <c:pt idx="128" formatCode="#,##0">
                  <c:v>84505</c:v>
                </c:pt>
                <c:pt idx="129" formatCode="#,##0">
                  <c:v>84507</c:v>
                </c:pt>
                <c:pt idx="130" formatCode="#,##0">
                  <c:v>84520</c:v>
                </c:pt>
                <c:pt idx="131" formatCode="#,##0">
                  <c:v>84522</c:v>
                </c:pt>
                <c:pt idx="132" formatCode="#,##0">
                  <c:v>84525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D-514F-AB5C-7E6086927AD1}"/>
            </c:ext>
          </c:extLst>
        </c:ser>
        <c:ser>
          <c:idx val="2"/>
          <c:order val="2"/>
          <c:tx>
            <c:strRef>
              <c:f>'COVID-19 Stats'!$I$4</c:f>
              <c:strCache>
                <c:ptCount val="1"/>
                <c:pt idx="0">
                  <c:v>Outside China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'COVID-19 Stats'!$D$5:$D$137</c:f>
              <c:numCache>
                <c:formatCode>d\-mmm</c:formatCode>
                <c:ptCount val="133"/>
                <c:pt idx="0">
                  <c:v>43843</c:v>
                </c:pt>
                <c:pt idx="1">
                  <c:v>43844</c:v>
                </c:pt>
                <c:pt idx="2">
                  <c:v>43845</c:v>
                </c:pt>
                <c:pt idx="3">
                  <c:v>43846</c:v>
                </c:pt>
                <c:pt idx="4">
                  <c:v>43847</c:v>
                </c:pt>
                <c:pt idx="5">
                  <c:v>43848</c:v>
                </c:pt>
                <c:pt idx="6">
                  <c:v>43849</c:v>
                </c:pt>
                <c:pt idx="7">
                  <c:v>43850</c:v>
                </c:pt>
                <c:pt idx="8">
                  <c:v>43851</c:v>
                </c:pt>
                <c:pt idx="9">
                  <c:v>43852</c:v>
                </c:pt>
                <c:pt idx="10">
                  <c:v>43853</c:v>
                </c:pt>
                <c:pt idx="11">
                  <c:v>43854</c:v>
                </c:pt>
                <c:pt idx="12">
                  <c:v>43855</c:v>
                </c:pt>
                <c:pt idx="13">
                  <c:v>43856</c:v>
                </c:pt>
                <c:pt idx="14">
                  <c:v>43857</c:v>
                </c:pt>
                <c:pt idx="15">
                  <c:v>43858</c:v>
                </c:pt>
                <c:pt idx="16">
                  <c:v>43859</c:v>
                </c:pt>
                <c:pt idx="17">
                  <c:v>43860</c:v>
                </c:pt>
                <c:pt idx="18">
                  <c:v>43861</c:v>
                </c:pt>
                <c:pt idx="19">
                  <c:v>43862</c:v>
                </c:pt>
                <c:pt idx="20">
                  <c:v>43863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43869</c:v>
                </c:pt>
                <c:pt idx="27">
                  <c:v>43870</c:v>
                </c:pt>
                <c:pt idx="28">
                  <c:v>43871</c:v>
                </c:pt>
                <c:pt idx="29">
                  <c:v>43872</c:v>
                </c:pt>
                <c:pt idx="30">
                  <c:v>43873</c:v>
                </c:pt>
                <c:pt idx="31">
                  <c:v>43874</c:v>
                </c:pt>
                <c:pt idx="32">
                  <c:v>43875</c:v>
                </c:pt>
                <c:pt idx="33">
                  <c:v>43876</c:v>
                </c:pt>
                <c:pt idx="34">
                  <c:v>43877</c:v>
                </c:pt>
                <c:pt idx="35">
                  <c:v>43878</c:v>
                </c:pt>
                <c:pt idx="36">
                  <c:v>43879</c:v>
                </c:pt>
                <c:pt idx="37">
                  <c:v>43880</c:v>
                </c:pt>
                <c:pt idx="38">
                  <c:v>43881</c:v>
                </c:pt>
                <c:pt idx="39">
                  <c:v>43882</c:v>
                </c:pt>
                <c:pt idx="40">
                  <c:v>43883</c:v>
                </c:pt>
                <c:pt idx="41">
                  <c:v>43884</c:v>
                </c:pt>
                <c:pt idx="42">
                  <c:v>43885</c:v>
                </c:pt>
                <c:pt idx="43">
                  <c:v>43886</c:v>
                </c:pt>
                <c:pt idx="44">
                  <c:v>43887</c:v>
                </c:pt>
                <c:pt idx="45">
                  <c:v>43888</c:v>
                </c:pt>
                <c:pt idx="46">
                  <c:v>43889</c:v>
                </c:pt>
                <c:pt idx="47">
                  <c:v>43890</c:v>
                </c:pt>
                <c:pt idx="48">
                  <c:v>43891</c:v>
                </c:pt>
                <c:pt idx="49">
                  <c:v>43892</c:v>
                </c:pt>
                <c:pt idx="50">
                  <c:v>43893</c:v>
                </c:pt>
                <c:pt idx="51">
                  <c:v>43894</c:v>
                </c:pt>
                <c:pt idx="52">
                  <c:v>43895</c:v>
                </c:pt>
                <c:pt idx="53">
                  <c:v>43896</c:v>
                </c:pt>
                <c:pt idx="54">
                  <c:v>43897</c:v>
                </c:pt>
                <c:pt idx="55">
                  <c:v>43898</c:v>
                </c:pt>
                <c:pt idx="56">
                  <c:v>43899</c:v>
                </c:pt>
                <c:pt idx="57">
                  <c:v>43900</c:v>
                </c:pt>
                <c:pt idx="58">
                  <c:v>43901</c:v>
                </c:pt>
                <c:pt idx="59">
                  <c:v>43902</c:v>
                </c:pt>
                <c:pt idx="60">
                  <c:v>43903</c:v>
                </c:pt>
                <c:pt idx="61">
                  <c:v>43904</c:v>
                </c:pt>
                <c:pt idx="62">
                  <c:v>43905</c:v>
                </c:pt>
                <c:pt idx="63">
                  <c:v>43906</c:v>
                </c:pt>
                <c:pt idx="64">
                  <c:v>43907</c:v>
                </c:pt>
                <c:pt idx="65">
                  <c:v>43908</c:v>
                </c:pt>
                <c:pt idx="66">
                  <c:v>43909</c:v>
                </c:pt>
                <c:pt idx="67">
                  <c:v>43910</c:v>
                </c:pt>
                <c:pt idx="68">
                  <c:v>43911</c:v>
                </c:pt>
                <c:pt idx="69">
                  <c:v>43912</c:v>
                </c:pt>
                <c:pt idx="70">
                  <c:v>43913</c:v>
                </c:pt>
                <c:pt idx="71">
                  <c:v>43914</c:v>
                </c:pt>
                <c:pt idx="72">
                  <c:v>43915</c:v>
                </c:pt>
                <c:pt idx="73">
                  <c:v>43916</c:v>
                </c:pt>
                <c:pt idx="74">
                  <c:v>43917</c:v>
                </c:pt>
                <c:pt idx="75">
                  <c:v>43918</c:v>
                </c:pt>
                <c:pt idx="76">
                  <c:v>43919</c:v>
                </c:pt>
                <c:pt idx="77">
                  <c:v>43920</c:v>
                </c:pt>
                <c:pt idx="78">
                  <c:v>43921</c:v>
                </c:pt>
                <c:pt idx="79">
                  <c:v>43922</c:v>
                </c:pt>
                <c:pt idx="80">
                  <c:v>43923</c:v>
                </c:pt>
                <c:pt idx="81">
                  <c:v>43924</c:v>
                </c:pt>
                <c:pt idx="82">
                  <c:v>43925</c:v>
                </c:pt>
                <c:pt idx="83">
                  <c:v>43926</c:v>
                </c:pt>
                <c:pt idx="84">
                  <c:v>43927</c:v>
                </c:pt>
                <c:pt idx="85">
                  <c:v>43928</c:v>
                </c:pt>
                <c:pt idx="86">
                  <c:v>43929</c:v>
                </c:pt>
                <c:pt idx="87">
                  <c:v>43930</c:v>
                </c:pt>
                <c:pt idx="88">
                  <c:v>43931</c:v>
                </c:pt>
                <c:pt idx="89">
                  <c:v>43932</c:v>
                </c:pt>
                <c:pt idx="90">
                  <c:v>43933</c:v>
                </c:pt>
                <c:pt idx="91">
                  <c:v>43934</c:v>
                </c:pt>
                <c:pt idx="92">
                  <c:v>43935</c:v>
                </c:pt>
                <c:pt idx="93">
                  <c:v>43936</c:v>
                </c:pt>
                <c:pt idx="94">
                  <c:v>43937</c:v>
                </c:pt>
                <c:pt idx="95">
                  <c:v>43938</c:v>
                </c:pt>
                <c:pt idx="96">
                  <c:v>43939</c:v>
                </c:pt>
                <c:pt idx="97">
                  <c:v>43940</c:v>
                </c:pt>
                <c:pt idx="98">
                  <c:v>43941</c:v>
                </c:pt>
                <c:pt idx="99">
                  <c:v>43942</c:v>
                </c:pt>
                <c:pt idx="100">
                  <c:v>43943</c:v>
                </c:pt>
                <c:pt idx="101">
                  <c:v>43944</c:v>
                </c:pt>
                <c:pt idx="102">
                  <c:v>43945</c:v>
                </c:pt>
                <c:pt idx="103">
                  <c:v>43946</c:v>
                </c:pt>
                <c:pt idx="104">
                  <c:v>43947</c:v>
                </c:pt>
                <c:pt idx="105">
                  <c:v>43948</c:v>
                </c:pt>
                <c:pt idx="106">
                  <c:v>43949</c:v>
                </c:pt>
                <c:pt idx="107">
                  <c:v>43950</c:v>
                </c:pt>
                <c:pt idx="108">
                  <c:v>43951</c:v>
                </c:pt>
                <c:pt idx="109">
                  <c:v>43952</c:v>
                </c:pt>
                <c:pt idx="110">
                  <c:v>43953</c:v>
                </c:pt>
                <c:pt idx="111">
                  <c:v>43954</c:v>
                </c:pt>
                <c:pt idx="112">
                  <c:v>43955</c:v>
                </c:pt>
                <c:pt idx="113">
                  <c:v>43956</c:v>
                </c:pt>
                <c:pt idx="114">
                  <c:v>43957</c:v>
                </c:pt>
                <c:pt idx="115">
                  <c:v>43958</c:v>
                </c:pt>
                <c:pt idx="116">
                  <c:v>43959</c:v>
                </c:pt>
                <c:pt idx="117">
                  <c:v>43960</c:v>
                </c:pt>
                <c:pt idx="118">
                  <c:v>43961</c:v>
                </c:pt>
                <c:pt idx="119">
                  <c:v>43962</c:v>
                </c:pt>
                <c:pt idx="120">
                  <c:v>43963</c:v>
                </c:pt>
                <c:pt idx="121">
                  <c:v>43964</c:v>
                </c:pt>
                <c:pt idx="122">
                  <c:v>43965</c:v>
                </c:pt>
                <c:pt idx="123">
                  <c:v>43966</c:v>
                </c:pt>
                <c:pt idx="124">
                  <c:v>43967</c:v>
                </c:pt>
                <c:pt idx="125">
                  <c:v>43968</c:v>
                </c:pt>
                <c:pt idx="126">
                  <c:v>43969</c:v>
                </c:pt>
                <c:pt idx="127">
                  <c:v>43970</c:v>
                </c:pt>
                <c:pt idx="128">
                  <c:v>43971</c:v>
                </c:pt>
                <c:pt idx="129">
                  <c:v>43972</c:v>
                </c:pt>
                <c:pt idx="130">
                  <c:v>43973</c:v>
                </c:pt>
                <c:pt idx="131">
                  <c:v>43974</c:v>
                </c:pt>
                <c:pt idx="132">
                  <c:v>43975</c:v>
                </c:pt>
              </c:numCache>
            </c:numRef>
          </c:cat>
          <c:val>
            <c:numRef>
              <c:f>'COVID-19 Stats'!$I$5:$I$137</c:f>
              <c:numCache>
                <c:formatCode>General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0</c:v>
                </c:pt>
                <c:pt idx="7" formatCode="#,##0">
                  <c:v>2</c:v>
                </c:pt>
                <c:pt idx="8" formatCode="#,##0">
                  <c:v>4</c:v>
                </c:pt>
                <c:pt idx="9" formatCode="#,##0">
                  <c:v>5</c:v>
                </c:pt>
                <c:pt idx="10" formatCode="#,##0">
                  <c:v>10</c:v>
                </c:pt>
                <c:pt idx="11" formatCode="#,##0">
                  <c:v>16</c:v>
                </c:pt>
                <c:pt idx="12" formatCode="#,##0">
                  <c:v>23</c:v>
                </c:pt>
                <c:pt idx="13" formatCode="#,##0">
                  <c:v>29</c:v>
                </c:pt>
                <c:pt idx="14" formatCode="#,##0">
                  <c:v>50</c:v>
                </c:pt>
                <c:pt idx="15" formatCode="#,##0">
                  <c:v>50</c:v>
                </c:pt>
                <c:pt idx="16" formatCode="#,##0">
                  <c:v>71</c:v>
                </c:pt>
                <c:pt idx="17" formatCode="#,##0">
                  <c:v>95</c:v>
                </c:pt>
                <c:pt idx="18" formatCode="#,##0">
                  <c:v>101</c:v>
                </c:pt>
                <c:pt idx="19" formatCode="#,##0">
                  <c:v>120</c:v>
                </c:pt>
                <c:pt idx="20" formatCode="#,##0">
                  <c:v>135</c:v>
                </c:pt>
                <c:pt idx="21" formatCode="#,##0">
                  <c:v>181</c:v>
                </c:pt>
                <c:pt idx="22" formatCode="#,##0">
                  <c:v>183</c:v>
                </c:pt>
                <c:pt idx="23" formatCode="#,##0">
                  <c:v>212</c:v>
                </c:pt>
                <c:pt idx="24" formatCode="#,##0">
                  <c:v>225</c:v>
                </c:pt>
                <c:pt idx="25" formatCode="#,##0">
                  <c:v>265</c:v>
                </c:pt>
                <c:pt idx="26" formatCode="#,##0">
                  <c:v>317</c:v>
                </c:pt>
                <c:pt idx="27" formatCode="#,##0">
                  <c:v>351</c:v>
                </c:pt>
                <c:pt idx="28" formatCode="#,##0">
                  <c:v>360</c:v>
                </c:pt>
                <c:pt idx="29" formatCode="#,##0">
                  <c:v>457</c:v>
                </c:pt>
                <c:pt idx="30" formatCode="#,##0">
                  <c:v>481</c:v>
                </c:pt>
                <c:pt idx="31" formatCode="#,##0">
                  <c:v>528</c:v>
                </c:pt>
                <c:pt idx="32" formatCode="#,##0">
                  <c:v>581</c:v>
                </c:pt>
                <c:pt idx="33" formatCode="#,##0">
                  <c:v>595</c:v>
                </c:pt>
                <c:pt idx="34" formatCode="#,##0">
                  <c:v>595</c:v>
                </c:pt>
                <c:pt idx="35" formatCode="#,##0">
                  <c:v>780</c:v>
                </c:pt>
                <c:pt idx="36" formatCode="#,##0">
                  <c:v>896</c:v>
                </c:pt>
                <c:pt idx="37" formatCode="#,##0">
                  <c:v>1013</c:v>
                </c:pt>
                <c:pt idx="38" formatCode="#,##0">
                  <c:v>1095</c:v>
                </c:pt>
                <c:pt idx="39" formatCode="#,##0">
                  <c:v>1153</c:v>
                </c:pt>
                <c:pt idx="40" formatCode="#,##0">
                  <c:v>1404</c:v>
                </c:pt>
                <c:pt idx="41" formatCode="#,##0">
                  <c:v>1722</c:v>
                </c:pt>
                <c:pt idx="42" formatCode="#,##0">
                  <c:v>2101</c:v>
                </c:pt>
                <c:pt idx="43" formatCode="#,##0">
                  <c:v>2369</c:v>
                </c:pt>
                <c:pt idx="44" formatCode="#,##0">
                  <c:v>2821</c:v>
                </c:pt>
                <c:pt idx="45" formatCode="#,##0">
                  <c:v>3554</c:v>
                </c:pt>
                <c:pt idx="46" formatCode="#,##0">
                  <c:v>4757</c:v>
                </c:pt>
                <c:pt idx="47" formatCode="#,##0">
                  <c:v>5716</c:v>
                </c:pt>
                <c:pt idx="48" formatCode="#,##0">
                  <c:v>6496</c:v>
                </c:pt>
                <c:pt idx="49" formatCode="#,##0">
                  <c:v>8200</c:v>
                </c:pt>
                <c:pt idx="50" formatCode="#,##0">
                  <c:v>10127</c:v>
                </c:pt>
                <c:pt idx="51" formatCode="#,##0">
                  <c:v>11979</c:v>
                </c:pt>
                <c:pt idx="52" formatCode="#,##0">
                  <c:v>13897</c:v>
                </c:pt>
                <c:pt idx="53" formatCode="#,##0">
                  <c:v>16142</c:v>
                </c:pt>
                <c:pt idx="54" formatCode="#,##0">
                  <c:v>19207</c:v>
                </c:pt>
                <c:pt idx="55" formatCode="#,##0">
                  <c:v>23646</c:v>
                </c:pt>
                <c:pt idx="56" formatCode="#,##0">
                  <c:v>26009</c:v>
                </c:pt>
                <c:pt idx="57" formatCode="#,##0">
                  <c:v>28892</c:v>
                </c:pt>
                <c:pt idx="58" formatCode="#,##0">
                  <c:v>32505</c:v>
                </c:pt>
                <c:pt idx="59" formatCode="#,##0">
                  <c:v>38592</c:v>
                </c:pt>
                <c:pt idx="60" formatCode="#,##0">
                  <c:v>45983</c:v>
                </c:pt>
                <c:pt idx="61" formatCode="#,##0">
                  <c:v>55091</c:v>
                </c:pt>
                <c:pt idx="62" formatCode="#,##0">
                  <c:v>63733</c:v>
                </c:pt>
                <c:pt idx="63" formatCode="#,##0">
                  <c:v>74354</c:v>
                </c:pt>
                <c:pt idx="64" formatCode="#,##0">
                  <c:v>85521</c:v>
                </c:pt>
                <c:pt idx="65" formatCode="#,##0">
                  <c:v>98192</c:v>
                </c:pt>
                <c:pt idx="66" formatCode="#,##0">
                  <c:v>116679</c:v>
                </c:pt>
                <c:pt idx="67" formatCode="#,##0">
                  <c:v>140678</c:v>
                </c:pt>
                <c:pt idx="68" formatCode="#,##0">
                  <c:v>166138</c:v>
                </c:pt>
                <c:pt idx="69" formatCode="#,##0">
                  <c:v>192965</c:v>
                </c:pt>
                <c:pt idx="70" formatCode="#,##0">
                  <c:v>219747</c:v>
                </c:pt>
                <c:pt idx="71" formatCode="#,##0">
                  <c:v>254002</c:v>
                </c:pt>
                <c:pt idx="72" formatCode="#,##0">
                  <c:v>288802</c:v>
                </c:pt>
                <c:pt idx="73" formatCode="#,##0">
                  <c:v>329630</c:v>
                </c:pt>
                <c:pt idx="74" formatCode="#,##0">
                  <c:v>378577</c:v>
                </c:pt>
                <c:pt idx="75" formatCode="#,##0">
                  <c:v>433999</c:v>
                </c:pt>
                <c:pt idx="76" formatCode="#,##0">
                  <c:v>488334</c:v>
                </c:pt>
                <c:pt idx="77" formatCode="#,##0">
                  <c:v>547376</c:v>
                </c:pt>
                <c:pt idx="78" formatCode="#,##0">
                  <c:v>580595</c:v>
                </c:pt>
                <c:pt idx="79" formatCode="#,##0">
                  <c:v>653273</c:v>
                </c:pt>
                <c:pt idx="80" formatCode="#,##0">
                  <c:v>693577</c:v>
                </c:pt>
                <c:pt idx="81" formatCode="#,##0">
                  <c:v>753074</c:v>
                </c:pt>
                <c:pt idx="82" formatCode="#,##0">
                  <c:v>833703</c:v>
                </c:pt>
                <c:pt idx="83" formatCode="#,##0">
                  <c:v>890014</c:v>
                </c:pt>
                <c:pt idx="84" formatCode="#,##0">
                  <c:v>946467</c:v>
                </c:pt>
                <c:pt idx="85" formatCode="#,##0">
                  <c:v>986648</c:v>
                </c:pt>
                <c:pt idx="86" formatCode="#,##0">
                  <c:v>1048312</c:v>
                </c:pt>
                <c:pt idx="87" formatCode="#,##0">
                  <c:v>1097859</c:v>
                </c:pt>
                <c:pt idx="88" formatCode="#,##0">
                  <c:v>1151433</c:v>
                </c:pt>
                <c:pt idx="89" formatCode="#,##0">
                  <c:v>1246808</c:v>
                </c:pt>
                <c:pt idx="90" formatCode="#,##0">
                  <c:v>1262350</c:v>
                </c:pt>
                <c:pt idx="91" formatCode="#,##0">
                  <c:v>1299970</c:v>
                </c:pt>
                <c:pt idx="92" formatCode="#,##0">
                  <c:v>1348101</c:v>
                </c:pt>
                <c:pt idx="93" formatCode="#,##0">
                  <c:v>1364666</c:v>
                </c:pt>
                <c:pt idx="94" formatCode="#,##0">
                  <c:v>1425928</c:v>
                </c:pt>
                <c:pt idx="95" formatCode="#,##0">
                  <c:v>1467858</c:v>
                </c:pt>
                <c:pt idx="96" formatCode="#,##0">
                  <c:v>1515927</c:v>
                </c:pt>
                <c:pt idx="97" formatCode="#,##0">
                  <c:v>1570914</c:v>
                </c:pt>
                <c:pt idx="98" formatCode="#,##0">
                  <c:v>1610556</c:v>
                </c:pt>
                <c:pt idx="99" formatCode="#,##0">
                  <c:v>1657859</c:v>
                </c:pt>
                <c:pt idx="100" formatCode="#,##0">
                  <c:v>1709415</c:v>
                </c:pt>
                <c:pt idx="101" formatCode="#,##0">
                  <c:v>1737624</c:v>
                </c:pt>
                <c:pt idx="102" formatCode="#,##0">
                  <c:v>1797589</c:v>
                </c:pt>
                <c:pt idx="103" formatCode="#,##0">
                  <c:v>1878183</c:v>
                </c:pt>
                <c:pt idx="104" formatCode="#,##0">
                  <c:v>1906924</c:v>
                </c:pt>
                <c:pt idx="105" formatCode="#,##0">
                  <c:v>1930560</c:v>
                </c:pt>
                <c:pt idx="106" formatCode="#,##0">
                  <c:v>1957045</c:v>
                </c:pt>
                <c:pt idx="107" formatCode="#,##0">
                  <c:v>1972383</c:v>
                </c:pt>
                <c:pt idx="108" formatCode="#,##0">
                  <c:v>2001324</c:v>
                </c:pt>
                <c:pt idx="109" formatCode="#,##0">
                  <c:v>2031100</c:v>
                </c:pt>
                <c:pt idx="110" formatCode="#,##0">
                  <c:v>2077015</c:v>
                </c:pt>
                <c:pt idx="111" formatCode="#,##0">
                  <c:v>2115264</c:v>
                </c:pt>
                <c:pt idx="112" formatCode="#,##0">
                  <c:v>2163860</c:v>
                </c:pt>
                <c:pt idx="113" formatCode="#,##0">
                  <c:v>2193898</c:v>
                </c:pt>
                <c:pt idx="114" formatCode="#,##0">
                  <c:v>2227361</c:v>
                </c:pt>
                <c:pt idx="115" formatCode="#,##0">
                  <c:v>2255157</c:v>
                </c:pt>
                <c:pt idx="116" formatCode="#,##0">
                  <c:v>2302448</c:v>
                </c:pt>
                <c:pt idx="117" formatCode="#,##0">
                  <c:v>2359127</c:v>
                </c:pt>
                <c:pt idx="118" formatCode="#,##0">
                  <c:v>2386276</c:v>
                </c:pt>
                <c:pt idx="119" formatCode="#,##0">
                  <c:v>2406277</c:v>
                </c:pt>
                <c:pt idx="120" formatCode="#,##0">
                  <c:v>2439957</c:v>
                </c:pt>
                <c:pt idx="121" formatCode="#,##0">
                  <c:v>2445220</c:v>
                </c:pt>
                <c:pt idx="122" formatCode="#,##0">
                  <c:v>2472509</c:v>
                </c:pt>
                <c:pt idx="123" formatCode="#,##0">
                  <c:v>2519578</c:v>
                </c:pt>
                <c:pt idx="124" formatCode="#,##0">
                  <c:v>2560421</c:v>
                </c:pt>
                <c:pt idx="125" formatCode="#,##0">
                  <c:v>2596025</c:v>
                </c:pt>
                <c:pt idx="126" formatCode="#,##0">
                  <c:v>2626143</c:v>
                </c:pt>
                <c:pt idx="127" formatCode="#,##0">
                  <c:v>2665000</c:v>
                </c:pt>
                <c:pt idx="128" formatCode="#,##0">
                  <c:v>2702747</c:v>
                </c:pt>
                <c:pt idx="129" formatCode="#,##0">
                  <c:v>2735007</c:v>
                </c:pt>
                <c:pt idx="130" formatCode="#,##0">
                  <c:v>2779496</c:v>
                </c:pt>
                <c:pt idx="131" formatCode="#,##0">
                  <c:v>2811274</c:v>
                </c:pt>
                <c:pt idx="132" formatCode="#,##0">
                  <c:v>2811043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D-514F-AB5C-7E6086927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axId val="1918579759"/>
        <c:axId val="1926155231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'COVID-19 Stats'!$E$4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'COVID-19 Stats'!$D$5:$D$137</c15:sqref>
                        </c15:formulaRef>
                      </c:ext>
                    </c:extLst>
                    <c:numCache>
                      <c:formatCode>d\-mmm</c:formatCode>
                      <c:ptCount val="133"/>
                      <c:pt idx="0">
                        <c:v>43843</c:v>
                      </c:pt>
                      <c:pt idx="1">
                        <c:v>43844</c:v>
                      </c:pt>
                      <c:pt idx="2">
                        <c:v>43845</c:v>
                      </c:pt>
                      <c:pt idx="3">
                        <c:v>43846</c:v>
                      </c:pt>
                      <c:pt idx="4">
                        <c:v>43847</c:v>
                      </c:pt>
                      <c:pt idx="5">
                        <c:v>43848</c:v>
                      </c:pt>
                      <c:pt idx="6">
                        <c:v>43849</c:v>
                      </c:pt>
                      <c:pt idx="7">
                        <c:v>43850</c:v>
                      </c:pt>
                      <c:pt idx="8">
                        <c:v>43851</c:v>
                      </c:pt>
                      <c:pt idx="9">
                        <c:v>43852</c:v>
                      </c:pt>
                      <c:pt idx="10">
                        <c:v>43853</c:v>
                      </c:pt>
                      <c:pt idx="11">
                        <c:v>43854</c:v>
                      </c:pt>
                      <c:pt idx="12">
                        <c:v>43855</c:v>
                      </c:pt>
                      <c:pt idx="13">
                        <c:v>43856</c:v>
                      </c:pt>
                      <c:pt idx="14">
                        <c:v>43857</c:v>
                      </c:pt>
                      <c:pt idx="15">
                        <c:v>43858</c:v>
                      </c:pt>
                      <c:pt idx="16">
                        <c:v>43859</c:v>
                      </c:pt>
                      <c:pt idx="17">
                        <c:v>43860</c:v>
                      </c:pt>
                      <c:pt idx="18">
                        <c:v>43861</c:v>
                      </c:pt>
                      <c:pt idx="19">
                        <c:v>43862</c:v>
                      </c:pt>
                      <c:pt idx="20">
                        <c:v>43863</c:v>
                      </c:pt>
                      <c:pt idx="21">
                        <c:v>43864</c:v>
                      </c:pt>
                      <c:pt idx="22">
                        <c:v>43865</c:v>
                      </c:pt>
                      <c:pt idx="23">
                        <c:v>43866</c:v>
                      </c:pt>
                      <c:pt idx="24">
                        <c:v>43867</c:v>
                      </c:pt>
                      <c:pt idx="25">
                        <c:v>43868</c:v>
                      </c:pt>
                      <c:pt idx="26">
                        <c:v>43869</c:v>
                      </c:pt>
                      <c:pt idx="27">
                        <c:v>43870</c:v>
                      </c:pt>
                      <c:pt idx="28">
                        <c:v>43871</c:v>
                      </c:pt>
                      <c:pt idx="29">
                        <c:v>43872</c:v>
                      </c:pt>
                      <c:pt idx="30">
                        <c:v>43873</c:v>
                      </c:pt>
                      <c:pt idx="31">
                        <c:v>43874</c:v>
                      </c:pt>
                      <c:pt idx="32">
                        <c:v>43875</c:v>
                      </c:pt>
                      <c:pt idx="33">
                        <c:v>43876</c:v>
                      </c:pt>
                      <c:pt idx="34">
                        <c:v>43877</c:v>
                      </c:pt>
                      <c:pt idx="35">
                        <c:v>43878</c:v>
                      </c:pt>
                      <c:pt idx="36">
                        <c:v>43879</c:v>
                      </c:pt>
                      <c:pt idx="37">
                        <c:v>43880</c:v>
                      </c:pt>
                      <c:pt idx="38">
                        <c:v>43881</c:v>
                      </c:pt>
                      <c:pt idx="39">
                        <c:v>43882</c:v>
                      </c:pt>
                      <c:pt idx="40">
                        <c:v>43883</c:v>
                      </c:pt>
                      <c:pt idx="41">
                        <c:v>43884</c:v>
                      </c:pt>
                      <c:pt idx="42">
                        <c:v>43885</c:v>
                      </c:pt>
                      <c:pt idx="43">
                        <c:v>43886</c:v>
                      </c:pt>
                      <c:pt idx="44">
                        <c:v>43887</c:v>
                      </c:pt>
                      <c:pt idx="45">
                        <c:v>43888</c:v>
                      </c:pt>
                      <c:pt idx="46">
                        <c:v>43889</c:v>
                      </c:pt>
                      <c:pt idx="47">
                        <c:v>43890</c:v>
                      </c:pt>
                      <c:pt idx="48">
                        <c:v>43891</c:v>
                      </c:pt>
                      <c:pt idx="49">
                        <c:v>43892</c:v>
                      </c:pt>
                      <c:pt idx="50">
                        <c:v>43893</c:v>
                      </c:pt>
                      <c:pt idx="51">
                        <c:v>43894</c:v>
                      </c:pt>
                      <c:pt idx="52">
                        <c:v>43895</c:v>
                      </c:pt>
                      <c:pt idx="53">
                        <c:v>43896</c:v>
                      </c:pt>
                      <c:pt idx="54">
                        <c:v>43897</c:v>
                      </c:pt>
                      <c:pt idx="55">
                        <c:v>43898</c:v>
                      </c:pt>
                      <c:pt idx="56">
                        <c:v>43899</c:v>
                      </c:pt>
                      <c:pt idx="57">
                        <c:v>43900</c:v>
                      </c:pt>
                      <c:pt idx="58">
                        <c:v>43901</c:v>
                      </c:pt>
                      <c:pt idx="59">
                        <c:v>43902</c:v>
                      </c:pt>
                      <c:pt idx="60">
                        <c:v>43903</c:v>
                      </c:pt>
                      <c:pt idx="61">
                        <c:v>43904</c:v>
                      </c:pt>
                      <c:pt idx="62">
                        <c:v>43905</c:v>
                      </c:pt>
                      <c:pt idx="63">
                        <c:v>43906</c:v>
                      </c:pt>
                      <c:pt idx="64">
                        <c:v>43907</c:v>
                      </c:pt>
                      <c:pt idx="65">
                        <c:v>43908</c:v>
                      </c:pt>
                      <c:pt idx="66">
                        <c:v>43909</c:v>
                      </c:pt>
                      <c:pt idx="67">
                        <c:v>43910</c:v>
                      </c:pt>
                      <c:pt idx="68">
                        <c:v>43911</c:v>
                      </c:pt>
                      <c:pt idx="69">
                        <c:v>43912</c:v>
                      </c:pt>
                      <c:pt idx="70">
                        <c:v>43913</c:v>
                      </c:pt>
                      <c:pt idx="71">
                        <c:v>43914</c:v>
                      </c:pt>
                      <c:pt idx="72">
                        <c:v>43915</c:v>
                      </c:pt>
                      <c:pt idx="73">
                        <c:v>43916</c:v>
                      </c:pt>
                      <c:pt idx="74">
                        <c:v>43917</c:v>
                      </c:pt>
                      <c:pt idx="75">
                        <c:v>43918</c:v>
                      </c:pt>
                      <c:pt idx="76">
                        <c:v>43919</c:v>
                      </c:pt>
                      <c:pt idx="77">
                        <c:v>43920</c:v>
                      </c:pt>
                      <c:pt idx="78">
                        <c:v>43921</c:v>
                      </c:pt>
                      <c:pt idx="79">
                        <c:v>43922</c:v>
                      </c:pt>
                      <c:pt idx="80">
                        <c:v>43923</c:v>
                      </c:pt>
                      <c:pt idx="81">
                        <c:v>43924</c:v>
                      </c:pt>
                      <c:pt idx="82">
                        <c:v>43925</c:v>
                      </c:pt>
                      <c:pt idx="83">
                        <c:v>43926</c:v>
                      </c:pt>
                      <c:pt idx="84">
                        <c:v>43927</c:v>
                      </c:pt>
                      <c:pt idx="85">
                        <c:v>43928</c:v>
                      </c:pt>
                      <c:pt idx="86">
                        <c:v>43929</c:v>
                      </c:pt>
                      <c:pt idx="87">
                        <c:v>43930</c:v>
                      </c:pt>
                      <c:pt idx="88">
                        <c:v>43931</c:v>
                      </c:pt>
                      <c:pt idx="89">
                        <c:v>43932</c:v>
                      </c:pt>
                      <c:pt idx="90">
                        <c:v>43933</c:v>
                      </c:pt>
                      <c:pt idx="91">
                        <c:v>43934</c:v>
                      </c:pt>
                      <c:pt idx="92">
                        <c:v>43935</c:v>
                      </c:pt>
                      <c:pt idx="93">
                        <c:v>43936</c:v>
                      </c:pt>
                      <c:pt idx="94">
                        <c:v>43937</c:v>
                      </c:pt>
                      <c:pt idx="95">
                        <c:v>43938</c:v>
                      </c:pt>
                      <c:pt idx="96">
                        <c:v>43939</c:v>
                      </c:pt>
                      <c:pt idx="97">
                        <c:v>43940</c:v>
                      </c:pt>
                      <c:pt idx="98">
                        <c:v>43941</c:v>
                      </c:pt>
                      <c:pt idx="99">
                        <c:v>43942</c:v>
                      </c:pt>
                      <c:pt idx="100">
                        <c:v>43943</c:v>
                      </c:pt>
                      <c:pt idx="101">
                        <c:v>43944</c:v>
                      </c:pt>
                      <c:pt idx="102">
                        <c:v>43945</c:v>
                      </c:pt>
                      <c:pt idx="103">
                        <c:v>43946</c:v>
                      </c:pt>
                      <c:pt idx="104">
                        <c:v>43947</c:v>
                      </c:pt>
                      <c:pt idx="105">
                        <c:v>43948</c:v>
                      </c:pt>
                      <c:pt idx="106">
                        <c:v>43949</c:v>
                      </c:pt>
                      <c:pt idx="107">
                        <c:v>43950</c:v>
                      </c:pt>
                      <c:pt idx="108">
                        <c:v>43951</c:v>
                      </c:pt>
                      <c:pt idx="109">
                        <c:v>43952</c:v>
                      </c:pt>
                      <c:pt idx="110">
                        <c:v>43953</c:v>
                      </c:pt>
                      <c:pt idx="111">
                        <c:v>43954</c:v>
                      </c:pt>
                      <c:pt idx="112">
                        <c:v>43955</c:v>
                      </c:pt>
                      <c:pt idx="113">
                        <c:v>43956</c:v>
                      </c:pt>
                      <c:pt idx="114">
                        <c:v>43957</c:v>
                      </c:pt>
                      <c:pt idx="115">
                        <c:v>43958</c:v>
                      </c:pt>
                      <c:pt idx="116">
                        <c:v>43959</c:v>
                      </c:pt>
                      <c:pt idx="117">
                        <c:v>43960</c:v>
                      </c:pt>
                      <c:pt idx="118">
                        <c:v>43961</c:v>
                      </c:pt>
                      <c:pt idx="119">
                        <c:v>43962</c:v>
                      </c:pt>
                      <c:pt idx="120">
                        <c:v>43963</c:v>
                      </c:pt>
                      <c:pt idx="121">
                        <c:v>43964</c:v>
                      </c:pt>
                      <c:pt idx="122">
                        <c:v>43965</c:v>
                      </c:pt>
                      <c:pt idx="123">
                        <c:v>43966</c:v>
                      </c:pt>
                      <c:pt idx="124">
                        <c:v>43967</c:v>
                      </c:pt>
                      <c:pt idx="125">
                        <c:v>43968</c:v>
                      </c:pt>
                      <c:pt idx="126">
                        <c:v>43969</c:v>
                      </c:pt>
                      <c:pt idx="127">
                        <c:v>43970</c:v>
                      </c:pt>
                      <c:pt idx="128">
                        <c:v>43971</c:v>
                      </c:pt>
                      <c:pt idx="129">
                        <c:v>43972</c:v>
                      </c:pt>
                      <c:pt idx="130">
                        <c:v>43973</c:v>
                      </c:pt>
                      <c:pt idx="131">
                        <c:v>43974</c:v>
                      </c:pt>
                      <c:pt idx="132">
                        <c:v>43975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'COVID-19 Stats'!$E$5:$E$137</c15:sqref>
                        </c15:formulaRef>
                      </c:ext>
                    </c:extLst>
                    <c:numCache>
                      <c:formatCode>d\-mmm</c:formatCode>
                      <c:ptCount val="13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8BD-514F-AB5C-7E6086927AD1}"/>
                  </c:ext>
                </c:extLst>
              </c15:ser>
            </c15:filteredAreaSeries>
          </c:ext>
        </c:extLst>
      </c:areaChart>
      <c:dateAx>
        <c:axId val="191857975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F Compact Text" panose="02010604030202060204" pitchFamily="2" charset="77"/>
                <a:ea typeface="+mn-ea"/>
                <a:cs typeface="+mn-cs"/>
              </a:defRPr>
            </a:pPr>
            <a:endParaRPr lang="en-US"/>
          </a:p>
        </c:txPr>
        <c:crossAx val="1926155231"/>
        <c:crosses val="autoZero"/>
        <c:auto val="1"/>
        <c:lblOffset val="100"/>
        <c:baseTimeUnit val="days"/>
      </c:dateAx>
      <c:valAx>
        <c:axId val="192615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F Compact Text" panose="02010604030202060204" pitchFamily="2" charset="77"/>
                <a:ea typeface="+mn-ea"/>
                <a:cs typeface="+mn-cs"/>
              </a:defRPr>
            </a:pPr>
            <a:endParaRPr lang="en-US"/>
          </a:p>
        </c:txPr>
        <c:crossAx val="19185797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F Compact Text" panose="02010604030202060204" pitchFamily="2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F Compact Text" panose="02010604030202060204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F Compact Text" panose="02010604030202060204" pitchFamily="2" charset="77"/>
                <a:ea typeface="+mn-ea"/>
                <a:cs typeface="+mn-cs"/>
              </a:defRPr>
            </a:pPr>
            <a:r>
              <a:rPr lang="en-US" sz="2000" b="1"/>
              <a:t>WEEKLY NEW CASES 'REPORTED' WITHIN CHINA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F Compact Text" panose="02010604030202060204" pitchFamily="2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256400896315456E-2"/>
          <c:y val="8.9298886761852332E-3"/>
          <c:w val="0.9024295381453038"/>
          <c:h val="0.94663173803887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63525" cmpd="sng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cat>
            <c:strRef>
              <c:f>'COVID-19 Stats'!$B$5:$B$137</c:f>
              <c:strCache>
                <c:ptCount val="127"/>
                <c:pt idx="0">
                  <c:v>WEEK 0</c:v>
                </c:pt>
                <c:pt idx="7">
                  <c:v>WEEK 1</c:v>
                </c:pt>
                <c:pt idx="14">
                  <c:v>WEEK 2</c:v>
                </c:pt>
                <c:pt idx="21">
                  <c:v>WEEK 3</c:v>
                </c:pt>
                <c:pt idx="28">
                  <c:v>WEEK 4</c:v>
                </c:pt>
                <c:pt idx="35">
                  <c:v>WEEK 5</c:v>
                </c:pt>
                <c:pt idx="42">
                  <c:v>WEEK 6</c:v>
                </c:pt>
                <c:pt idx="49">
                  <c:v>WEEK 7</c:v>
                </c:pt>
                <c:pt idx="56">
                  <c:v>WEEK 8</c:v>
                </c:pt>
                <c:pt idx="63">
                  <c:v>WEEK 9</c:v>
                </c:pt>
                <c:pt idx="70">
                  <c:v>WEEK 10</c:v>
                </c:pt>
                <c:pt idx="77">
                  <c:v>WEEK 11</c:v>
                </c:pt>
                <c:pt idx="84">
                  <c:v>WEEK 12</c:v>
                </c:pt>
                <c:pt idx="91">
                  <c:v>WEEK 13</c:v>
                </c:pt>
                <c:pt idx="98">
                  <c:v>WEEK 14</c:v>
                </c:pt>
                <c:pt idx="105">
                  <c:v>WEEK 15</c:v>
                </c:pt>
                <c:pt idx="112">
                  <c:v>WEEK 16</c:v>
                </c:pt>
                <c:pt idx="119">
                  <c:v>WEEK 17</c:v>
                </c:pt>
                <c:pt idx="126">
                  <c:v>WEEK 18</c:v>
                </c:pt>
              </c:strCache>
            </c:strRef>
          </c:cat>
          <c:val>
            <c:numRef>
              <c:f>'COVID-19 Stats'!$H$5:$H$137</c:f>
              <c:numCache>
                <c:formatCode>General</c:formatCode>
                <c:ptCount val="133"/>
                <c:pt idx="6">
                  <c:v>91</c:v>
                </c:pt>
                <c:pt idx="13">
                  <c:v>1888</c:v>
                </c:pt>
                <c:pt idx="20">
                  <c:v>12426</c:v>
                </c:pt>
                <c:pt idx="27">
                  <c:v>22841</c:v>
                </c:pt>
                <c:pt idx="34">
                  <c:v>31332</c:v>
                </c:pt>
                <c:pt idx="41">
                  <c:v>8457</c:v>
                </c:pt>
                <c:pt idx="48">
                  <c:v>2930</c:v>
                </c:pt>
                <c:pt idx="55">
                  <c:v>893</c:v>
                </c:pt>
                <c:pt idx="62">
                  <c:v>190</c:v>
                </c:pt>
                <c:pt idx="69">
                  <c:v>508</c:v>
                </c:pt>
                <c:pt idx="76">
                  <c:v>783</c:v>
                </c:pt>
                <c:pt idx="83">
                  <c:v>593</c:v>
                </c:pt>
                <c:pt idx="90">
                  <c:v>544</c:v>
                </c:pt>
                <c:pt idx="97">
                  <c:v>719</c:v>
                </c:pt>
                <c:pt idx="104">
                  <c:v>140</c:v>
                </c:pt>
                <c:pt idx="111">
                  <c:v>52</c:v>
                </c:pt>
                <c:pt idx="118">
                  <c:v>37</c:v>
                </c:pt>
                <c:pt idx="125">
                  <c:v>54</c:v>
                </c:pt>
                <c:pt idx="13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2-3641-89FE-40787DCEF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811819840"/>
        <c:axId val="843481520"/>
      </c:barChart>
      <c:catAx>
        <c:axId val="81181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Medium Cond" panose="020B0606030402020204" pitchFamily="34" charset="0"/>
                <a:ea typeface="+mn-ea"/>
                <a:cs typeface="+mn-cs"/>
              </a:defRPr>
            </a:pPr>
            <a:endParaRPr lang="en-US"/>
          </a:p>
        </c:txPr>
        <c:crossAx val="843481520"/>
        <c:crosses val="autoZero"/>
        <c:auto val="1"/>
        <c:lblAlgn val="ctr"/>
        <c:lblOffset val="100"/>
        <c:noMultiLvlLbl val="0"/>
      </c:catAx>
      <c:valAx>
        <c:axId val="84348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F Compact Text" panose="02010604030202060204" pitchFamily="2" charset="77"/>
                <a:ea typeface="+mn-ea"/>
                <a:cs typeface="+mn-cs"/>
              </a:defRPr>
            </a:pPr>
            <a:endParaRPr lang="en-US"/>
          </a:p>
        </c:txPr>
        <c:crossAx val="811819840"/>
        <c:crosses val="autoZero"/>
        <c:crossBetween val="between"/>
      </c:valAx>
      <c:spPr>
        <a:noFill/>
        <a:ln cmpd="sng">
          <a:noFill/>
          <a:prstDash val="solid"/>
          <a:miter lim="800000"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F Compact Text" panose="02010604030202060204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93</xdr:row>
      <xdr:rowOff>190499</xdr:rowOff>
    </xdr:from>
    <xdr:to>
      <xdr:col>24</xdr:col>
      <xdr:colOff>259462</xdr:colOff>
      <xdr:row>135</xdr:row>
      <xdr:rowOff>27312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2C30DD-12EC-EE41-9E4B-F742D6C15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382530</xdr:colOff>
      <xdr:row>1</xdr:row>
      <xdr:rowOff>229518</xdr:rowOff>
    </xdr:from>
    <xdr:to>
      <xdr:col>24</xdr:col>
      <xdr:colOff>286774</xdr:colOff>
      <xdr:row>44</xdr:row>
      <xdr:rowOff>168313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E875DD-FFC0-C343-95A1-5694D687E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390065</xdr:colOff>
      <xdr:row>48</xdr:row>
      <xdr:rowOff>112041</xdr:rowOff>
    </xdr:from>
    <xdr:to>
      <xdr:col>24</xdr:col>
      <xdr:colOff>314086</xdr:colOff>
      <xdr:row>89</xdr:row>
      <xdr:rowOff>95591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8DE862-5F2A-244A-8747-2725BC5FF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0.10731</cdr:x>
      <cdr:y>0.05338</cdr:y>
    </cdr:from>
    <cdr:to>
      <cdr:x>0.61753</cdr:x>
      <cdr:y>0.3263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58B8BB-5D9D-AF47-BB71-849ED67AA8B3}"/>
            </a:ext>
          </a:extLst>
        </cdr:cNvPr>
        <cdr:cNvSpPr txBox="1"/>
      </cdr:nvSpPr>
      <cdr:spPr>
        <a:xfrm xmlns:a="http://schemas.openxmlformats.org/drawingml/2006/main">
          <a:off x="824285" y="434492"/>
          <a:ext cx="3919090" cy="2221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defRPr sz="32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lang="en-US" sz="3600" b="1">
              <a:latin typeface="SF Compact Text" panose="02010604030202060204" pitchFamily="2" charset="77"/>
            </a:rPr>
            <a:t>COVID-19</a:t>
          </a:r>
          <a:br>
            <a:rPr lang="en-US" sz="3600" b="1" baseline="0">
              <a:latin typeface="SF Compact Text" panose="02010604030202060204" pitchFamily="2" charset="77"/>
            </a:rPr>
          </a:br>
          <a:r>
            <a:rPr lang="en-US" sz="2400" b="1" baseline="0">
              <a:latin typeface="SF Compact Text" panose="02010604030202060204" pitchFamily="2" charset="77"/>
            </a:rPr>
            <a:t>Confirmed 'reported'</a:t>
          </a:r>
        </a:p>
        <a:p xmlns:a="http://schemas.openxmlformats.org/drawingml/2006/main">
          <a:pPr algn="ctr" rtl="0">
            <a:defRPr sz="32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lang="en-US" sz="2400" b="1" baseline="0">
              <a:latin typeface="SF Compact Text" panose="02010604030202060204" pitchFamily="2" charset="77"/>
            </a:rPr>
            <a:t>(aka 'tested' infection) </a:t>
          </a:r>
          <a:br>
            <a:rPr lang="en-US" sz="2400" b="1" baseline="0">
              <a:latin typeface="SF Compact Text" panose="02010604030202060204" pitchFamily="2" charset="77"/>
            </a:rPr>
          </a:br>
          <a:r>
            <a:rPr lang="en-US" sz="2800" b="1" baseline="0">
              <a:latin typeface="SF Compact Text" panose="02010604030202060204" pitchFamily="2" charset="77"/>
            </a:rPr>
            <a:t>Growth Rate</a:t>
          </a:r>
          <a:endParaRPr lang="en-US" sz="2400" b="1" baseline="0">
            <a:latin typeface="SF Compact Text" panose="02010604030202060204" pitchFamily="2" charset="77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31CD1-BC4A-4D40-8664-75A42BC00CD2}">
  <dimension ref="B2:W139"/>
  <sheetViews>
    <sheetView showGridLines="0" tabSelected="1" topLeftCell="A89" zoomScale="93" zoomScaleNormal="93" workbookViewId="0">
      <selection activeCell="R137" sqref="R137"/>
    </sheetView>
  </sheetViews>
  <sheetFormatPr baseColWidth="10" defaultRowHeight="16"/>
  <cols>
    <col min="1" max="1" width="4.1640625" style="1" customWidth="1"/>
    <col min="2" max="2" width="3.1640625" style="31" customWidth="1"/>
    <col min="3" max="3" width="5.5" style="2" customWidth="1"/>
    <col min="4" max="4" width="8.5" style="1" customWidth="1"/>
    <col min="5" max="5" width="1" style="1" customWidth="1"/>
    <col min="6" max="6" width="9.6640625" style="2" customWidth="1"/>
    <col min="7" max="8" width="5.5" style="46" customWidth="1"/>
    <col min="9" max="9" width="13.33203125" style="2" customWidth="1"/>
    <col min="10" max="10" width="6.83203125" style="46" customWidth="1"/>
    <col min="11" max="11" width="13.1640625" style="2" customWidth="1"/>
    <col min="12" max="12" width="11.5" style="2" customWidth="1"/>
    <col min="13" max="13" width="10.1640625" style="1" customWidth="1"/>
    <col min="14" max="14" width="7.33203125" style="1" customWidth="1"/>
    <col min="15" max="15" width="13.5" style="1" customWidth="1"/>
    <col min="16" max="16" width="4" style="1" customWidth="1"/>
    <col min="17" max="17" width="6" style="3" customWidth="1"/>
    <col min="18" max="16384" width="10.83203125" style="1"/>
  </cols>
  <sheetData>
    <row r="2" spans="2:17" ht="35" customHeight="1">
      <c r="C2" s="19" t="s">
        <v>23</v>
      </c>
      <c r="D2" s="17"/>
      <c r="E2" s="17"/>
      <c r="F2" s="25"/>
      <c r="G2" s="47"/>
      <c r="H2" s="47"/>
      <c r="I2" s="25"/>
      <c r="J2" s="47"/>
      <c r="K2" s="25"/>
      <c r="L2" s="25"/>
      <c r="M2" s="17"/>
      <c r="O2" s="6"/>
      <c r="P2" s="6"/>
    </row>
    <row r="3" spans="2:17">
      <c r="C3" s="32" t="s">
        <v>24</v>
      </c>
      <c r="D3" s="33"/>
      <c r="E3" s="33"/>
      <c r="F3" s="34"/>
      <c r="G3" s="48"/>
      <c r="H3" s="48"/>
      <c r="I3" s="34"/>
      <c r="J3" s="48"/>
      <c r="K3" s="34"/>
      <c r="L3" s="34"/>
      <c r="M3" s="33"/>
      <c r="O3" s="6"/>
      <c r="P3" s="6"/>
    </row>
    <row r="4" spans="2:17" ht="17" thickBot="1">
      <c r="C4" s="9"/>
      <c r="D4" s="8"/>
      <c r="E4" s="8"/>
      <c r="F4" s="36" t="s">
        <v>29</v>
      </c>
      <c r="G4" s="49" t="s">
        <v>30</v>
      </c>
      <c r="H4" s="49" t="s">
        <v>32</v>
      </c>
      <c r="I4" s="41" t="s">
        <v>28</v>
      </c>
      <c r="J4" s="54" t="s">
        <v>31</v>
      </c>
      <c r="K4" s="57" t="s">
        <v>20</v>
      </c>
      <c r="L4" s="30" t="s">
        <v>21</v>
      </c>
      <c r="M4" s="62" t="s">
        <v>22</v>
      </c>
      <c r="N4" s="10"/>
      <c r="O4" s="6"/>
      <c r="P4" s="6"/>
    </row>
    <row r="5" spans="2:17" ht="15" customHeight="1">
      <c r="B5" s="77" t="s">
        <v>17</v>
      </c>
      <c r="C5" s="15" t="s">
        <v>0</v>
      </c>
      <c r="D5" s="4">
        <v>43843</v>
      </c>
      <c r="E5" s="4"/>
      <c r="F5" s="37">
        <v>6</v>
      </c>
      <c r="G5" s="50"/>
      <c r="H5" s="50"/>
      <c r="I5" s="42">
        <v>0</v>
      </c>
      <c r="J5" s="55"/>
      <c r="K5" s="58">
        <f>F5+I5</f>
        <v>6</v>
      </c>
      <c r="L5" s="26">
        <v>0</v>
      </c>
      <c r="M5" s="63">
        <f>L5/K5</f>
        <v>0</v>
      </c>
      <c r="N5" s="20"/>
      <c r="O5" s="6"/>
      <c r="P5" s="6"/>
    </row>
    <row r="6" spans="2:17" ht="15" customHeight="1">
      <c r="B6" s="77"/>
      <c r="C6" s="2" t="s">
        <v>6</v>
      </c>
      <c r="D6" s="4">
        <v>43844</v>
      </c>
      <c r="E6" s="4"/>
      <c r="F6" s="37">
        <v>6</v>
      </c>
      <c r="G6" s="51">
        <f>F6-F5</f>
        <v>0</v>
      </c>
      <c r="H6" s="51"/>
      <c r="I6" s="42">
        <v>0</v>
      </c>
      <c r="J6" s="55">
        <f>I6-I5</f>
        <v>0</v>
      </c>
      <c r="K6" s="58">
        <f>F6+I6</f>
        <v>6</v>
      </c>
      <c r="L6" s="26">
        <v>0</v>
      </c>
      <c r="M6" s="63">
        <f>L6/K6</f>
        <v>0</v>
      </c>
      <c r="N6" s="5"/>
      <c r="O6" s="6"/>
      <c r="P6" s="6"/>
    </row>
    <row r="7" spans="2:17" ht="15" customHeight="1">
      <c r="B7" s="77"/>
      <c r="C7" s="2" t="s">
        <v>5</v>
      </c>
      <c r="D7" s="4">
        <v>43845</v>
      </c>
      <c r="E7" s="4"/>
      <c r="F7" s="37">
        <v>17</v>
      </c>
      <c r="G7" s="51">
        <f t="shared" ref="G7:G70" si="0">F7-F6</f>
        <v>11</v>
      </c>
      <c r="H7" s="51"/>
      <c r="I7" s="42">
        <v>0</v>
      </c>
      <c r="J7" s="55">
        <f t="shared" ref="J7:J70" si="1">I7-I6</f>
        <v>0</v>
      </c>
      <c r="K7" s="58">
        <f t="shared" ref="K7:K8" si="2">F7+I7</f>
        <v>17</v>
      </c>
      <c r="L7" s="26">
        <v>1</v>
      </c>
      <c r="M7" s="63">
        <f>L7/K7</f>
        <v>5.8823529411764705E-2</v>
      </c>
      <c r="N7" s="5"/>
      <c r="O7" s="6"/>
      <c r="P7" s="6"/>
    </row>
    <row r="8" spans="2:17" ht="15" customHeight="1">
      <c r="B8" s="77"/>
      <c r="C8" s="2" t="s">
        <v>4</v>
      </c>
      <c r="D8" s="4">
        <v>43846</v>
      </c>
      <c r="E8" s="4"/>
      <c r="F8" s="37">
        <v>21</v>
      </c>
      <c r="G8" s="51">
        <f t="shared" si="0"/>
        <v>4</v>
      </c>
      <c r="H8" s="51"/>
      <c r="I8" s="42">
        <v>0</v>
      </c>
      <c r="J8" s="55">
        <f t="shared" si="1"/>
        <v>0</v>
      </c>
      <c r="K8" s="58">
        <f t="shared" si="2"/>
        <v>21</v>
      </c>
      <c r="L8" s="26">
        <v>1</v>
      </c>
      <c r="M8" s="63">
        <f t="shared" ref="M8:M10" si="3">L8/K8</f>
        <v>4.7619047619047616E-2</v>
      </c>
      <c r="N8" s="5"/>
      <c r="O8" s="6"/>
      <c r="P8" s="6"/>
    </row>
    <row r="9" spans="2:17" ht="15" customHeight="1">
      <c r="B9" s="77"/>
      <c r="C9" s="15" t="s">
        <v>3</v>
      </c>
      <c r="D9" s="4">
        <v>43847</v>
      </c>
      <c r="E9" s="4"/>
      <c r="F9" s="37">
        <v>44</v>
      </c>
      <c r="G9" s="51">
        <f t="shared" si="0"/>
        <v>23</v>
      </c>
      <c r="H9" s="51"/>
      <c r="I9" s="42">
        <v>0</v>
      </c>
      <c r="J9" s="55">
        <f t="shared" si="1"/>
        <v>0</v>
      </c>
      <c r="K9" s="58">
        <f>F9+I9</f>
        <v>44</v>
      </c>
      <c r="L9" s="26">
        <v>1</v>
      </c>
      <c r="M9" s="63">
        <f t="shared" si="3"/>
        <v>2.2727272727272728E-2</v>
      </c>
      <c r="N9" s="5"/>
      <c r="O9" s="6"/>
      <c r="P9" s="6"/>
    </row>
    <row r="10" spans="2:17" ht="15" customHeight="1">
      <c r="B10" s="77"/>
      <c r="C10" s="15" t="s">
        <v>2</v>
      </c>
      <c r="D10" s="4">
        <v>43848</v>
      </c>
      <c r="E10" s="4"/>
      <c r="F10" s="37">
        <v>68</v>
      </c>
      <c r="G10" s="51">
        <f t="shared" si="0"/>
        <v>24</v>
      </c>
      <c r="H10" s="51"/>
      <c r="I10" s="42">
        <v>0</v>
      </c>
      <c r="J10" s="55">
        <f t="shared" si="1"/>
        <v>0</v>
      </c>
      <c r="K10" s="58">
        <f t="shared" ref="K10" si="4">F10+I10</f>
        <v>68</v>
      </c>
      <c r="L10" s="26">
        <v>2</v>
      </c>
      <c r="M10" s="63">
        <f t="shared" si="3"/>
        <v>2.9411764705882353E-2</v>
      </c>
      <c r="N10" s="5"/>
      <c r="O10" s="6"/>
      <c r="P10" s="6"/>
    </row>
    <row r="11" spans="2:17" ht="15" customHeight="1">
      <c r="B11" s="77"/>
      <c r="C11" s="21" t="s">
        <v>1</v>
      </c>
      <c r="D11" s="22">
        <v>43849</v>
      </c>
      <c r="E11" s="22"/>
      <c r="F11" s="40">
        <v>97</v>
      </c>
      <c r="G11" s="52">
        <f t="shared" si="0"/>
        <v>29</v>
      </c>
      <c r="H11" s="52">
        <f>SUM(G5:G11)</f>
        <v>91</v>
      </c>
      <c r="I11" s="45">
        <v>0</v>
      </c>
      <c r="J11" s="56">
        <f t="shared" si="1"/>
        <v>0</v>
      </c>
      <c r="K11" s="59">
        <f>F11+I11</f>
        <v>97</v>
      </c>
      <c r="L11" s="29">
        <v>2</v>
      </c>
      <c r="M11" s="64">
        <f>L11/K11</f>
        <v>2.0618556701030927E-2</v>
      </c>
      <c r="N11" s="5"/>
      <c r="O11" s="6"/>
      <c r="P11" s="6"/>
    </row>
    <row r="12" spans="2:17" ht="15" customHeight="1">
      <c r="B12" s="77" t="s">
        <v>7</v>
      </c>
      <c r="C12" s="13" t="s">
        <v>0</v>
      </c>
      <c r="D12" s="14">
        <v>43850</v>
      </c>
      <c r="E12" s="14"/>
      <c r="F12" s="39">
        <v>130</v>
      </c>
      <c r="G12" s="51">
        <f t="shared" si="0"/>
        <v>33</v>
      </c>
      <c r="H12" s="51"/>
      <c r="I12" s="44">
        <v>2</v>
      </c>
      <c r="J12" s="55">
        <f t="shared" si="1"/>
        <v>2</v>
      </c>
      <c r="K12" s="60">
        <f>F12+I12</f>
        <v>132</v>
      </c>
      <c r="L12" s="28">
        <v>4</v>
      </c>
      <c r="M12" s="65">
        <f>L12/K12</f>
        <v>3.0303030303030304E-2</v>
      </c>
      <c r="N12" s="5"/>
      <c r="O12" s="6"/>
      <c r="P12" s="6"/>
    </row>
    <row r="13" spans="2:17" ht="15" customHeight="1">
      <c r="B13" s="77"/>
      <c r="C13" s="15" t="s">
        <v>6</v>
      </c>
      <c r="D13" s="16">
        <v>43851</v>
      </c>
      <c r="E13" s="16"/>
      <c r="F13" s="38">
        <v>278</v>
      </c>
      <c r="G13" s="51">
        <f t="shared" si="0"/>
        <v>148</v>
      </c>
      <c r="H13" s="51"/>
      <c r="I13" s="43">
        <v>4</v>
      </c>
      <c r="J13" s="55">
        <f t="shared" si="1"/>
        <v>2</v>
      </c>
      <c r="K13" s="61">
        <f>F13+I13</f>
        <v>282</v>
      </c>
      <c r="L13" s="27">
        <v>6</v>
      </c>
      <c r="M13" s="66">
        <f>L13/K13</f>
        <v>2.1276595744680851E-2</v>
      </c>
      <c r="N13" s="5"/>
      <c r="O13" s="6"/>
      <c r="P13" s="6"/>
    </row>
    <row r="14" spans="2:17" ht="15" customHeight="1">
      <c r="B14" s="77"/>
      <c r="C14" s="15" t="s">
        <v>5</v>
      </c>
      <c r="D14" s="16">
        <v>43852</v>
      </c>
      <c r="E14" s="16"/>
      <c r="F14" s="38">
        <v>309</v>
      </c>
      <c r="G14" s="51">
        <f t="shared" si="0"/>
        <v>31</v>
      </c>
      <c r="H14" s="51"/>
      <c r="I14" s="43">
        <v>5</v>
      </c>
      <c r="J14" s="55">
        <f t="shared" si="1"/>
        <v>1</v>
      </c>
      <c r="K14" s="61">
        <f t="shared" ref="K14:K20" si="5">F14+I14</f>
        <v>314</v>
      </c>
      <c r="L14" s="27">
        <v>8</v>
      </c>
      <c r="M14" s="66">
        <f t="shared" ref="M14:M18" si="6">L14/K14</f>
        <v>2.5477707006369428E-2</v>
      </c>
      <c r="N14" s="5"/>
      <c r="O14" s="6"/>
      <c r="P14" s="6"/>
    </row>
    <row r="15" spans="2:17" ht="15" customHeight="1">
      <c r="B15" s="77"/>
      <c r="C15" s="15" t="s">
        <v>4</v>
      </c>
      <c r="D15" s="16">
        <v>43853</v>
      </c>
      <c r="E15" s="16"/>
      <c r="F15" s="38">
        <v>571</v>
      </c>
      <c r="G15" s="51">
        <f t="shared" si="0"/>
        <v>262</v>
      </c>
      <c r="H15" s="51"/>
      <c r="I15" s="43">
        <v>10</v>
      </c>
      <c r="J15" s="55">
        <f t="shared" si="1"/>
        <v>5</v>
      </c>
      <c r="K15" s="61">
        <f t="shared" si="5"/>
        <v>581</v>
      </c>
      <c r="L15" s="27">
        <v>17</v>
      </c>
      <c r="M15" s="66">
        <f t="shared" si="6"/>
        <v>2.9259896729776247E-2</v>
      </c>
      <c r="N15" s="5"/>
      <c r="O15" s="6"/>
      <c r="P15" s="6"/>
      <c r="Q15" s="7"/>
    </row>
    <row r="16" spans="2:17" ht="15" customHeight="1">
      <c r="B16" s="77"/>
      <c r="C16" s="15" t="s">
        <v>3</v>
      </c>
      <c r="D16" s="16">
        <v>43854</v>
      </c>
      <c r="E16" s="16"/>
      <c r="F16" s="38">
        <v>830</v>
      </c>
      <c r="G16" s="51">
        <f t="shared" si="0"/>
        <v>259</v>
      </c>
      <c r="H16" s="51"/>
      <c r="I16" s="43">
        <v>16</v>
      </c>
      <c r="J16" s="55">
        <f t="shared" si="1"/>
        <v>6</v>
      </c>
      <c r="K16" s="61">
        <f t="shared" si="5"/>
        <v>846</v>
      </c>
      <c r="L16" s="27">
        <v>25</v>
      </c>
      <c r="M16" s="66">
        <f t="shared" si="6"/>
        <v>2.955082742316785E-2</v>
      </c>
      <c r="N16" s="5"/>
      <c r="O16" s="6"/>
      <c r="P16" s="6"/>
      <c r="Q16" s="7"/>
    </row>
    <row r="17" spans="2:17" ht="15" customHeight="1">
      <c r="B17" s="77"/>
      <c r="C17" s="15" t="s">
        <v>2</v>
      </c>
      <c r="D17" s="16">
        <v>43855</v>
      </c>
      <c r="E17" s="16"/>
      <c r="F17" s="38">
        <v>1297</v>
      </c>
      <c r="G17" s="51">
        <f t="shared" si="0"/>
        <v>467</v>
      </c>
      <c r="H17" s="51"/>
      <c r="I17" s="43">
        <v>23</v>
      </c>
      <c r="J17" s="55">
        <f t="shared" si="1"/>
        <v>7</v>
      </c>
      <c r="K17" s="61">
        <f t="shared" si="5"/>
        <v>1320</v>
      </c>
      <c r="L17" s="27">
        <v>41</v>
      </c>
      <c r="M17" s="66">
        <f t="shared" si="6"/>
        <v>3.1060606060606059E-2</v>
      </c>
      <c r="N17" s="5"/>
      <c r="O17" s="6"/>
      <c r="P17" s="7"/>
    </row>
    <row r="18" spans="2:17" ht="15" customHeight="1">
      <c r="B18" s="77"/>
      <c r="C18" s="21" t="s">
        <v>1</v>
      </c>
      <c r="D18" s="22">
        <v>43856</v>
      </c>
      <c r="E18" s="22"/>
      <c r="F18" s="40">
        <v>1985</v>
      </c>
      <c r="G18" s="52">
        <f t="shared" si="0"/>
        <v>688</v>
      </c>
      <c r="H18" s="52">
        <f>SUM(G12:G18)</f>
        <v>1888</v>
      </c>
      <c r="I18" s="45">
        <v>29</v>
      </c>
      <c r="J18" s="56">
        <f t="shared" si="1"/>
        <v>6</v>
      </c>
      <c r="K18" s="59">
        <f t="shared" si="5"/>
        <v>2014</v>
      </c>
      <c r="L18" s="29">
        <v>56</v>
      </c>
      <c r="M18" s="64">
        <f t="shared" si="6"/>
        <v>2.7805362462760674E-2</v>
      </c>
      <c r="N18" s="5"/>
      <c r="O18" s="6"/>
      <c r="P18" s="6"/>
      <c r="Q18" s="7"/>
    </row>
    <row r="19" spans="2:17" ht="15" customHeight="1">
      <c r="B19" s="77" t="s">
        <v>8</v>
      </c>
      <c r="C19" s="13" t="s">
        <v>0</v>
      </c>
      <c r="D19" s="14">
        <v>43857</v>
      </c>
      <c r="E19" s="14"/>
      <c r="F19" s="39">
        <v>2744</v>
      </c>
      <c r="G19" s="51">
        <f t="shared" si="0"/>
        <v>759</v>
      </c>
      <c r="H19" s="51"/>
      <c r="I19" s="44">
        <v>50</v>
      </c>
      <c r="J19" s="55">
        <f t="shared" si="1"/>
        <v>21</v>
      </c>
      <c r="K19" s="60">
        <f t="shared" si="5"/>
        <v>2794</v>
      </c>
      <c r="L19" s="28">
        <v>80</v>
      </c>
      <c r="M19" s="65">
        <f>L19/K19</f>
        <v>2.863278453829635E-2</v>
      </c>
      <c r="N19" s="5"/>
      <c r="O19" s="6"/>
      <c r="P19" s="6"/>
      <c r="Q19" s="7"/>
    </row>
    <row r="20" spans="2:17" ht="15" customHeight="1">
      <c r="B20" s="77"/>
      <c r="C20" s="15" t="s">
        <v>6</v>
      </c>
      <c r="D20" s="16">
        <v>43858</v>
      </c>
      <c r="E20" s="16"/>
      <c r="F20" s="38">
        <v>4529</v>
      </c>
      <c r="G20" s="51">
        <f t="shared" si="0"/>
        <v>1785</v>
      </c>
      <c r="H20" s="51"/>
      <c r="I20" s="43">
        <v>50</v>
      </c>
      <c r="J20" s="55">
        <f t="shared" si="1"/>
        <v>0</v>
      </c>
      <c r="K20" s="61">
        <f t="shared" si="5"/>
        <v>4579</v>
      </c>
      <c r="L20" s="27">
        <v>106</v>
      </c>
      <c r="M20" s="66">
        <f t="shared" ref="M20:M83" si="7">L20/K20</f>
        <v>2.3149159205066609E-2</v>
      </c>
      <c r="N20" s="5"/>
      <c r="O20" s="6"/>
      <c r="P20" s="6"/>
      <c r="Q20" s="7"/>
    </row>
    <row r="21" spans="2:17" ht="15" customHeight="1">
      <c r="B21" s="77"/>
      <c r="C21" s="15" t="s">
        <v>5</v>
      </c>
      <c r="D21" s="16">
        <v>43859</v>
      </c>
      <c r="E21" s="16"/>
      <c r="F21" s="38">
        <v>6042</v>
      </c>
      <c r="G21" s="51">
        <f t="shared" si="0"/>
        <v>1513</v>
      </c>
      <c r="H21" s="51"/>
      <c r="I21" s="43">
        <v>71</v>
      </c>
      <c r="J21" s="55">
        <f t="shared" si="1"/>
        <v>21</v>
      </c>
      <c r="K21" s="61">
        <f>F21+I21</f>
        <v>6113</v>
      </c>
      <c r="L21" s="27">
        <v>132</v>
      </c>
      <c r="M21" s="66">
        <f t="shared" si="7"/>
        <v>2.1593325699329299E-2</v>
      </c>
      <c r="N21" s="5"/>
      <c r="O21" s="6"/>
      <c r="P21" s="6"/>
      <c r="Q21" s="7"/>
    </row>
    <row r="22" spans="2:17" ht="15" customHeight="1">
      <c r="B22" s="77"/>
      <c r="C22" s="15" t="s">
        <v>4</v>
      </c>
      <c r="D22" s="16">
        <v>43860</v>
      </c>
      <c r="E22" s="16"/>
      <c r="F22" s="38">
        <v>7733</v>
      </c>
      <c r="G22" s="51">
        <f t="shared" si="0"/>
        <v>1691</v>
      </c>
      <c r="H22" s="51"/>
      <c r="I22" s="43">
        <v>95</v>
      </c>
      <c r="J22" s="55">
        <f t="shared" si="1"/>
        <v>24</v>
      </c>
      <c r="K22" s="61">
        <f>F22+I22</f>
        <v>7828</v>
      </c>
      <c r="L22" s="27">
        <v>170</v>
      </c>
      <c r="M22" s="66">
        <f t="shared" si="7"/>
        <v>2.1716913643331628E-2</v>
      </c>
      <c r="N22" s="5"/>
      <c r="O22" s="6"/>
      <c r="P22" s="6"/>
      <c r="Q22" s="7"/>
    </row>
    <row r="23" spans="2:17" ht="15" customHeight="1">
      <c r="B23" s="77"/>
      <c r="C23" s="15" t="s">
        <v>3</v>
      </c>
      <c r="D23" s="16">
        <v>43861</v>
      </c>
      <c r="E23" s="16"/>
      <c r="F23" s="38">
        <v>9750</v>
      </c>
      <c r="G23" s="51">
        <f t="shared" si="0"/>
        <v>2017</v>
      </c>
      <c r="H23" s="51"/>
      <c r="I23" s="43">
        <v>101</v>
      </c>
      <c r="J23" s="55">
        <f t="shared" si="1"/>
        <v>6</v>
      </c>
      <c r="K23" s="61">
        <f t="shared" ref="K23:K31" si="8">F23+I23</f>
        <v>9851</v>
      </c>
      <c r="L23" s="27">
        <v>190</v>
      </c>
      <c r="M23" s="66">
        <f t="shared" si="7"/>
        <v>1.9287381991675973E-2</v>
      </c>
      <c r="N23" s="5"/>
      <c r="O23" s="6"/>
      <c r="P23" s="6"/>
      <c r="Q23" s="7"/>
    </row>
    <row r="24" spans="2:17" ht="15" customHeight="1">
      <c r="B24" s="77"/>
      <c r="C24" s="15" t="s">
        <v>2</v>
      </c>
      <c r="D24" s="16">
        <v>43862</v>
      </c>
      <c r="E24" s="16"/>
      <c r="F24" s="38">
        <v>11860</v>
      </c>
      <c r="G24" s="51">
        <f t="shared" si="0"/>
        <v>2110</v>
      </c>
      <c r="H24" s="51"/>
      <c r="I24" s="43">
        <v>120</v>
      </c>
      <c r="J24" s="55">
        <f t="shared" si="1"/>
        <v>19</v>
      </c>
      <c r="K24" s="61">
        <f t="shared" si="8"/>
        <v>11980</v>
      </c>
      <c r="L24" s="27">
        <v>259</v>
      </c>
      <c r="M24" s="66">
        <f t="shared" si="7"/>
        <v>2.1619365609348917E-2</v>
      </c>
      <c r="N24" s="5"/>
      <c r="O24" s="6"/>
      <c r="P24" s="6"/>
      <c r="Q24" s="7"/>
    </row>
    <row r="25" spans="2:17" ht="15" customHeight="1">
      <c r="B25" s="77"/>
      <c r="C25" s="21" t="s">
        <v>1</v>
      </c>
      <c r="D25" s="22">
        <v>43863</v>
      </c>
      <c r="E25" s="22"/>
      <c r="F25" s="40">
        <v>14411</v>
      </c>
      <c r="G25" s="52">
        <f t="shared" si="0"/>
        <v>2551</v>
      </c>
      <c r="H25" s="52">
        <f>SUM(G19:G25)</f>
        <v>12426</v>
      </c>
      <c r="I25" s="45">
        <v>135</v>
      </c>
      <c r="J25" s="56">
        <f t="shared" si="1"/>
        <v>15</v>
      </c>
      <c r="K25" s="59">
        <f t="shared" si="8"/>
        <v>14546</v>
      </c>
      <c r="L25" s="29">
        <v>304</v>
      </c>
      <c r="M25" s="64">
        <f t="shared" si="7"/>
        <v>2.0899216279389524E-2</v>
      </c>
      <c r="N25" s="5"/>
      <c r="O25" s="6"/>
      <c r="P25" s="6"/>
      <c r="Q25" s="7"/>
    </row>
    <row r="26" spans="2:17" ht="15" customHeight="1">
      <c r="B26" s="77" t="s">
        <v>9</v>
      </c>
      <c r="C26" s="13" t="s">
        <v>0</v>
      </c>
      <c r="D26" s="14">
        <v>43864</v>
      </c>
      <c r="E26" s="14"/>
      <c r="F26" s="39">
        <v>17238</v>
      </c>
      <c r="G26" s="51">
        <f t="shared" si="0"/>
        <v>2827</v>
      </c>
      <c r="H26" s="51"/>
      <c r="I26" s="44">
        <v>181</v>
      </c>
      <c r="J26" s="55">
        <f t="shared" si="1"/>
        <v>46</v>
      </c>
      <c r="K26" s="60">
        <f t="shared" si="8"/>
        <v>17419</v>
      </c>
      <c r="L26" s="28">
        <v>361</v>
      </c>
      <c r="M26" s="65">
        <f t="shared" si="7"/>
        <v>2.0724496239738217E-2</v>
      </c>
      <c r="N26" s="5"/>
      <c r="O26" s="6"/>
      <c r="P26" s="6"/>
      <c r="Q26" s="7"/>
    </row>
    <row r="27" spans="2:17" ht="15" customHeight="1">
      <c r="B27" s="77"/>
      <c r="C27" s="15" t="s">
        <v>6</v>
      </c>
      <c r="D27" s="16">
        <v>43865</v>
      </c>
      <c r="E27" s="16"/>
      <c r="F27" s="38">
        <v>20471</v>
      </c>
      <c r="G27" s="51">
        <f t="shared" si="0"/>
        <v>3233</v>
      </c>
      <c r="H27" s="51"/>
      <c r="I27" s="43">
        <v>183</v>
      </c>
      <c r="J27" s="55">
        <f t="shared" si="1"/>
        <v>2</v>
      </c>
      <c r="K27" s="61">
        <f t="shared" si="8"/>
        <v>20654</v>
      </c>
      <c r="L27" s="27">
        <v>425</v>
      </c>
      <c r="M27" s="66">
        <f t="shared" si="7"/>
        <v>2.0577127917110485E-2</v>
      </c>
      <c r="N27" s="5"/>
      <c r="O27" s="6"/>
      <c r="P27" s="6"/>
      <c r="Q27" s="7"/>
    </row>
    <row r="28" spans="2:17" ht="15" customHeight="1">
      <c r="B28" s="77"/>
      <c r="C28" s="15" t="s">
        <v>5</v>
      </c>
      <c r="D28" s="16">
        <v>43866</v>
      </c>
      <c r="E28" s="16"/>
      <c r="F28" s="38">
        <v>24363</v>
      </c>
      <c r="G28" s="51">
        <f t="shared" si="0"/>
        <v>3892</v>
      </c>
      <c r="H28" s="51"/>
      <c r="I28" s="43">
        <v>212</v>
      </c>
      <c r="J28" s="55">
        <f t="shared" si="1"/>
        <v>29</v>
      </c>
      <c r="K28" s="61">
        <f t="shared" si="8"/>
        <v>24575</v>
      </c>
      <c r="L28" s="27">
        <v>492</v>
      </c>
      <c r="M28" s="66">
        <f t="shared" si="7"/>
        <v>2.0020345879959309E-2</v>
      </c>
      <c r="N28" s="5"/>
      <c r="O28" s="6"/>
      <c r="P28" s="6"/>
      <c r="Q28" s="7"/>
    </row>
    <row r="29" spans="2:17" ht="15" customHeight="1">
      <c r="B29" s="77"/>
      <c r="C29" s="15" t="s">
        <v>4</v>
      </c>
      <c r="D29" s="16">
        <v>43867</v>
      </c>
      <c r="E29" s="16"/>
      <c r="F29" s="38">
        <v>28065</v>
      </c>
      <c r="G29" s="51">
        <f t="shared" si="0"/>
        <v>3702</v>
      </c>
      <c r="H29" s="51"/>
      <c r="I29" s="43">
        <v>225</v>
      </c>
      <c r="J29" s="55">
        <f t="shared" si="1"/>
        <v>13</v>
      </c>
      <c r="K29" s="61">
        <f t="shared" si="8"/>
        <v>28290</v>
      </c>
      <c r="L29" s="27">
        <v>564</v>
      </c>
      <c r="M29" s="66">
        <f t="shared" si="7"/>
        <v>1.9936373276776245E-2</v>
      </c>
      <c r="N29" s="5"/>
      <c r="O29" s="6"/>
      <c r="P29" s="6"/>
      <c r="Q29" s="7"/>
    </row>
    <row r="30" spans="2:17" ht="15" customHeight="1">
      <c r="B30" s="77"/>
      <c r="C30" s="15" t="s">
        <v>3</v>
      </c>
      <c r="D30" s="16">
        <v>43868</v>
      </c>
      <c r="E30" s="16"/>
      <c r="F30" s="38">
        <v>31223</v>
      </c>
      <c r="G30" s="51">
        <f t="shared" si="0"/>
        <v>3158</v>
      </c>
      <c r="H30" s="51"/>
      <c r="I30" s="43">
        <v>265</v>
      </c>
      <c r="J30" s="55">
        <f t="shared" si="1"/>
        <v>40</v>
      </c>
      <c r="K30" s="61">
        <f t="shared" si="8"/>
        <v>31488</v>
      </c>
      <c r="L30" s="27">
        <v>637</v>
      </c>
      <c r="M30" s="66">
        <f t="shared" si="7"/>
        <v>2.0229928861788617E-2</v>
      </c>
      <c r="N30" s="5"/>
      <c r="O30" s="6"/>
      <c r="P30" s="6"/>
      <c r="Q30" s="7"/>
    </row>
    <row r="31" spans="2:17" ht="15" customHeight="1">
      <c r="B31" s="77"/>
      <c r="C31" s="15" t="s">
        <v>2</v>
      </c>
      <c r="D31" s="16">
        <v>43869</v>
      </c>
      <c r="E31" s="16"/>
      <c r="F31" s="38">
        <v>34622</v>
      </c>
      <c r="G31" s="51">
        <f t="shared" si="0"/>
        <v>3399</v>
      </c>
      <c r="H31" s="51"/>
      <c r="I31" s="43">
        <v>317</v>
      </c>
      <c r="J31" s="55">
        <f t="shared" si="1"/>
        <v>52</v>
      </c>
      <c r="K31" s="61">
        <f t="shared" si="8"/>
        <v>34939</v>
      </c>
      <c r="L31" s="27">
        <v>723</v>
      </c>
      <c r="M31" s="66">
        <f t="shared" si="7"/>
        <v>2.0693208162798019E-2</v>
      </c>
      <c r="O31" s="6"/>
      <c r="P31" s="6"/>
      <c r="Q31" s="7"/>
    </row>
    <row r="32" spans="2:17" ht="15" customHeight="1">
      <c r="B32" s="77"/>
      <c r="C32" s="21" t="s">
        <v>1</v>
      </c>
      <c r="D32" s="22">
        <v>43870</v>
      </c>
      <c r="E32" s="22"/>
      <c r="F32" s="40">
        <v>37252</v>
      </c>
      <c r="G32" s="52">
        <f t="shared" si="0"/>
        <v>2630</v>
      </c>
      <c r="H32" s="52">
        <f>SUM(G26:G32)</f>
        <v>22841</v>
      </c>
      <c r="I32" s="45">
        <v>351</v>
      </c>
      <c r="J32" s="56">
        <f t="shared" si="1"/>
        <v>34</v>
      </c>
      <c r="K32" s="59">
        <f t="shared" ref="K32:K63" si="9">F32+I32</f>
        <v>37603</v>
      </c>
      <c r="L32" s="29">
        <v>813</v>
      </c>
      <c r="M32" s="64">
        <f t="shared" si="7"/>
        <v>2.1620615376432731E-2</v>
      </c>
      <c r="O32" s="6"/>
      <c r="P32" s="6"/>
      <c r="Q32" s="7"/>
    </row>
    <row r="33" spans="2:17" ht="15" customHeight="1">
      <c r="B33" s="77" t="s">
        <v>10</v>
      </c>
      <c r="C33" s="13" t="s">
        <v>0</v>
      </c>
      <c r="D33" s="14">
        <v>43871</v>
      </c>
      <c r="E33" s="14"/>
      <c r="F33" s="39">
        <v>40235</v>
      </c>
      <c r="G33" s="51">
        <f t="shared" si="0"/>
        <v>2983</v>
      </c>
      <c r="H33" s="51"/>
      <c r="I33" s="44">
        <v>360</v>
      </c>
      <c r="J33" s="55">
        <f t="shared" si="1"/>
        <v>9</v>
      </c>
      <c r="K33" s="60">
        <f t="shared" si="9"/>
        <v>40595</v>
      </c>
      <c r="L33" s="28">
        <v>909</v>
      </c>
      <c r="M33" s="65">
        <f t="shared" si="7"/>
        <v>2.2391920187215173E-2</v>
      </c>
      <c r="O33" s="6"/>
      <c r="P33" s="6"/>
      <c r="Q33" s="7"/>
    </row>
    <row r="34" spans="2:17" ht="15" customHeight="1">
      <c r="B34" s="77"/>
      <c r="C34" s="15" t="s">
        <v>6</v>
      </c>
      <c r="D34" s="16">
        <v>43872</v>
      </c>
      <c r="E34" s="16"/>
      <c r="F34" s="38">
        <v>42717</v>
      </c>
      <c r="G34" s="51">
        <f t="shared" si="0"/>
        <v>2482</v>
      </c>
      <c r="H34" s="51"/>
      <c r="I34" s="43">
        <v>457</v>
      </c>
      <c r="J34" s="55">
        <f t="shared" si="1"/>
        <v>97</v>
      </c>
      <c r="K34" s="61">
        <f t="shared" si="9"/>
        <v>43174</v>
      </c>
      <c r="L34" s="27">
        <v>1017</v>
      </c>
      <c r="M34" s="66">
        <f t="shared" si="7"/>
        <v>2.3555843794876546E-2</v>
      </c>
      <c r="O34" s="6"/>
      <c r="P34" s="6"/>
      <c r="Q34" s="7"/>
    </row>
    <row r="35" spans="2:17" ht="15" customHeight="1">
      <c r="B35" s="77"/>
      <c r="C35" s="15" t="s">
        <v>5</v>
      </c>
      <c r="D35" s="16">
        <v>43873</v>
      </c>
      <c r="E35" s="16"/>
      <c r="F35" s="38">
        <v>44742</v>
      </c>
      <c r="G35" s="51">
        <f t="shared" si="0"/>
        <v>2025</v>
      </c>
      <c r="H35" s="51"/>
      <c r="I35" s="43">
        <v>481</v>
      </c>
      <c r="J35" s="55">
        <f t="shared" si="1"/>
        <v>24</v>
      </c>
      <c r="K35" s="61">
        <f t="shared" si="9"/>
        <v>45223</v>
      </c>
      <c r="L35" s="27">
        <v>1114</v>
      </c>
      <c r="M35" s="66">
        <f t="shared" si="7"/>
        <v>2.4633482962209494E-2</v>
      </c>
      <c r="O35" s="6"/>
      <c r="P35" s="6"/>
      <c r="Q35" s="7"/>
    </row>
    <row r="36" spans="2:17" ht="15" customHeight="1">
      <c r="B36" s="77"/>
      <c r="C36" s="15" t="s">
        <v>4</v>
      </c>
      <c r="D36" s="16">
        <v>43874</v>
      </c>
      <c r="E36" s="16"/>
      <c r="F36" s="38">
        <v>59885</v>
      </c>
      <c r="G36" s="51">
        <f t="shared" si="0"/>
        <v>15143</v>
      </c>
      <c r="H36" s="51"/>
      <c r="I36" s="43">
        <v>528</v>
      </c>
      <c r="J36" s="55">
        <f t="shared" si="1"/>
        <v>47</v>
      </c>
      <c r="K36" s="61">
        <f t="shared" si="9"/>
        <v>60413</v>
      </c>
      <c r="L36" s="27">
        <v>1368</v>
      </c>
      <c r="M36" s="66">
        <f t="shared" si="7"/>
        <v>2.2644132885306142E-2</v>
      </c>
      <c r="O36" s="6"/>
      <c r="P36" s="6"/>
      <c r="Q36" s="7"/>
    </row>
    <row r="37" spans="2:17" ht="15" customHeight="1">
      <c r="B37" s="77"/>
      <c r="C37" s="15" t="s">
        <v>3</v>
      </c>
      <c r="D37" s="16">
        <v>43875</v>
      </c>
      <c r="E37" s="16"/>
      <c r="F37" s="38">
        <v>63936</v>
      </c>
      <c r="G37" s="51">
        <f t="shared" si="0"/>
        <v>4051</v>
      </c>
      <c r="H37" s="51"/>
      <c r="I37" s="43">
        <v>581</v>
      </c>
      <c r="J37" s="55">
        <f t="shared" si="1"/>
        <v>53</v>
      </c>
      <c r="K37" s="61">
        <f t="shared" si="9"/>
        <v>64517</v>
      </c>
      <c r="L37" s="27">
        <v>1381</v>
      </c>
      <c r="M37" s="66">
        <f t="shared" si="7"/>
        <v>2.1405211029651101E-2</v>
      </c>
      <c r="O37" s="6"/>
      <c r="P37" s="6"/>
      <c r="Q37" s="7"/>
    </row>
    <row r="38" spans="2:17" ht="15" customHeight="1">
      <c r="B38" s="77"/>
      <c r="C38" s="15" t="s">
        <v>2</v>
      </c>
      <c r="D38" s="16">
        <v>43876</v>
      </c>
      <c r="E38" s="16"/>
      <c r="F38" s="38">
        <v>66577</v>
      </c>
      <c r="G38" s="51">
        <f t="shared" si="0"/>
        <v>2641</v>
      </c>
      <c r="H38" s="51"/>
      <c r="I38" s="43">
        <v>595</v>
      </c>
      <c r="J38" s="55">
        <f t="shared" si="1"/>
        <v>14</v>
      </c>
      <c r="K38" s="61">
        <f t="shared" si="9"/>
        <v>67172</v>
      </c>
      <c r="L38" s="27">
        <v>1524</v>
      </c>
      <c r="M38" s="66">
        <f t="shared" si="7"/>
        <v>2.2688024772226523E-2</v>
      </c>
      <c r="P38" s="6"/>
      <c r="Q38" s="7"/>
    </row>
    <row r="39" spans="2:17" ht="15" customHeight="1">
      <c r="B39" s="77"/>
      <c r="C39" s="21" t="s">
        <v>1</v>
      </c>
      <c r="D39" s="22">
        <v>43877</v>
      </c>
      <c r="E39" s="22"/>
      <c r="F39" s="40">
        <v>68584</v>
      </c>
      <c r="G39" s="52">
        <f t="shared" si="0"/>
        <v>2007</v>
      </c>
      <c r="H39" s="52">
        <f>SUM(G33:G39)</f>
        <v>31332</v>
      </c>
      <c r="I39" s="45">
        <v>595</v>
      </c>
      <c r="J39" s="56">
        <f t="shared" si="1"/>
        <v>0</v>
      </c>
      <c r="K39" s="59">
        <f t="shared" si="9"/>
        <v>69179</v>
      </c>
      <c r="L39" s="29">
        <v>1666</v>
      </c>
      <c r="M39" s="64">
        <f t="shared" si="7"/>
        <v>2.4082452767458334E-2</v>
      </c>
      <c r="O39" s="6"/>
      <c r="P39" s="6"/>
      <c r="Q39" s="7"/>
    </row>
    <row r="40" spans="2:17" ht="15" customHeight="1">
      <c r="B40" s="77" t="s">
        <v>11</v>
      </c>
      <c r="C40" s="13" t="s">
        <v>0</v>
      </c>
      <c r="D40" s="14">
        <v>43878</v>
      </c>
      <c r="E40" s="14"/>
      <c r="F40" s="39">
        <v>70639</v>
      </c>
      <c r="G40" s="51">
        <f t="shared" si="0"/>
        <v>2055</v>
      </c>
      <c r="H40" s="51"/>
      <c r="I40" s="44">
        <v>780</v>
      </c>
      <c r="J40" s="55">
        <f t="shared" si="1"/>
        <v>185</v>
      </c>
      <c r="K40" s="60">
        <f t="shared" si="9"/>
        <v>71419</v>
      </c>
      <c r="L40" s="28">
        <v>1772</v>
      </c>
      <c r="M40" s="65">
        <f t="shared" si="7"/>
        <v>2.4811324717512146E-2</v>
      </c>
      <c r="P40" s="6"/>
      <c r="Q40" s="7"/>
    </row>
    <row r="41" spans="2:17" ht="15" customHeight="1">
      <c r="B41" s="77"/>
      <c r="C41" s="15" t="s">
        <v>6</v>
      </c>
      <c r="D41" s="16">
        <v>43879</v>
      </c>
      <c r="E41" s="16"/>
      <c r="F41" s="38">
        <v>72531</v>
      </c>
      <c r="G41" s="51">
        <f t="shared" si="0"/>
        <v>1892</v>
      </c>
      <c r="H41" s="51"/>
      <c r="I41" s="43">
        <v>896</v>
      </c>
      <c r="J41" s="55">
        <f t="shared" si="1"/>
        <v>116</v>
      </c>
      <c r="K41" s="61">
        <f t="shared" si="9"/>
        <v>73427</v>
      </c>
      <c r="L41" s="27">
        <v>1871</v>
      </c>
      <c r="M41" s="66">
        <f t="shared" si="7"/>
        <v>2.5481090062238684E-2</v>
      </c>
      <c r="O41" s="6"/>
      <c r="P41" s="6"/>
      <c r="Q41" s="7"/>
    </row>
    <row r="42" spans="2:17" ht="15" customHeight="1">
      <c r="B42" s="77"/>
      <c r="C42" s="15" t="s">
        <v>5</v>
      </c>
      <c r="D42" s="16">
        <v>43880</v>
      </c>
      <c r="E42" s="16"/>
      <c r="F42" s="38">
        <v>74279</v>
      </c>
      <c r="G42" s="51">
        <f t="shared" si="0"/>
        <v>1748</v>
      </c>
      <c r="H42" s="51"/>
      <c r="I42" s="43">
        <v>1013</v>
      </c>
      <c r="J42" s="55">
        <f t="shared" si="1"/>
        <v>117</v>
      </c>
      <c r="K42" s="61">
        <f t="shared" si="9"/>
        <v>75292</v>
      </c>
      <c r="L42" s="27">
        <v>2009</v>
      </c>
      <c r="M42" s="66">
        <f t="shared" si="7"/>
        <v>2.6682781703235403E-2</v>
      </c>
      <c r="O42" s="6"/>
      <c r="P42" s="6"/>
      <c r="Q42" s="7"/>
    </row>
    <row r="43" spans="2:17" ht="15" customHeight="1">
      <c r="B43" s="77"/>
      <c r="C43" s="15" t="s">
        <v>4</v>
      </c>
      <c r="D43" s="16">
        <v>43881</v>
      </c>
      <c r="E43" s="16"/>
      <c r="F43" s="38">
        <v>74677</v>
      </c>
      <c r="G43" s="51">
        <f t="shared" si="0"/>
        <v>398</v>
      </c>
      <c r="H43" s="51"/>
      <c r="I43" s="43">
        <v>1095</v>
      </c>
      <c r="J43" s="55">
        <f t="shared" si="1"/>
        <v>82</v>
      </c>
      <c r="K43" s="61">
        <f t="shared" si="9"/>
        <v>75772</v>
      </c>
      <c r="L43" s="27">
        <v>2121</v>
      </c>
      <c r="M43" s="66">
        <f t="shared" si="7"/>
        <v>2.7991870347885764E-2</v>
      </c>
      <c r="O43" s="6"/>
      <c r="P43" s="6"/>
      <c r="Q43" s="7"/>
    </row>
    <row r="44" spans="2:17" ht="15" customHeight="1">
      <c r="B44" s="77"/>
      <c r="C44" s="15" t="s">
        <v>3</v>
      </c>
      <c r="D44" s="16">
        <v>43882</v>
      </c>
      <c r="E44" s="16"/>
      <c r="F44" s="38">
        <v>75570</v>
      </c>
      <c r="G44" s="51">
        <f t="shared" si="0"/>
        <v>893</v>
      </c>
      <c r="H44" s="51"/>
      <c r="I44" s="43">
        <v>1153</v>
      </c>
      <c r="J44" s="55">
        <f t="shared" si="1"/>
        <v>58</v>
      </c>
      <c r="K44" s="61">
        <f t="shared" si="9"/>
        <v>76723</v>
      </c>
      <c r="L44" s="27">
        <v>2239</v>
      </c>
      <c r="M44" s="66">
        <f t="shared" si="7"/>
        <v>2.9182904735216297E-2</v>
      </c>
      <c r="O44" s="6"/>
      <c r="P44" s="6"/>
      <c r="Q44" s="7"/>
    </row>
    <row r="45" spans="2:17" ht="15" customHeight="1">
      <c r="B45" s="77"/>
      <c r="C45" s="15" t="s">
        <v>2</v>
      </c>
      <c r="D45" s="16">
        <v>43883</v>
      </c>
      <c r="E45" s="16"/>
      <c r="F45" s="38">
        <v>76395</v>
      </c>
      <c r="G45" s="51">
        <f t="shared" si="0"/>
        <v>825</v>
      </c>
      <c r="H45" s="51"/>
      <c r="I45" s="43">
        <v>1404</v>
      </c>
      <c r="J45" s="55">
        <f t="shared" si="1"/>
        <v>251</v>
      </c>
      <c r="K45" s="61">
        <f t="shared" si="9"/>
        <v>77799</v>
      </c>
      <c r="L45" s="27">
        <v>2348</v>
      </c>
      <c r="M45" s="66">
        <f t="shared" si="7"/>
        <v>3.0180336508181339E-2</v>
      </c>
      <c r="O45" s="6"/>
      <c r="P45" s="6"/>
      <c r="Q45" s="7"/>
    </row>
    <row r="46" spans="2:17" ht="15" customHeight="1">
      <c r="B46" s="77"/>
      <c r="C46" s="21" t="s">
        <v>1</v>
      </c>
      <c r="D46" s="22">
        <v>43884</v>
      </c>
      <c r="E46" s="22"/>
      <c r="F46" s="40">
        <v>77041</v>
      </c>
      <c r="G46" s="52">
        <f t="shared" si="0"/>
        <v>646</v>
      </c>
      <c r="H46" s="52">
        <f>SUM(G40:G46)</f>
        <v>8457</v>
      </c>
      <c r="I46" s="45">
        <v>1722</v>
      </c>
      <c r="J46" s="56">
        <f t="shared" si="1"/>
        <v>318</v>
      </c>
      <c r="K46" s="59">
        <f t="shared" si="9"/>
        <v>78763</v>
      </c>
      <c r="L46" s="29">
        <v>2445</v>
      </c>
      <c r="M46" s="64">
        <f t="shared" si="7"/>
        <v>3.104249457232457E-2</v>
      </c>
      <c r="O46" s="6" t="s">
        <v>33</v>
      </c>
      <c r="P46" s="6"/>
      <c r="Q46" s="7"/>
    </row>
    <row r="47" spans="2:17" ht="15" customHeight="1">
      <c r="B47" s="77" t="s">
        <v>12</v>
      </c>
      <c r="C47" s="13" t="s">
        <v>0</v>
      </c>
      <c r="D47" s="14">
        <v>43885</v>
      </c>
      <c r="E47" s="14"/>
      <c r="F47" s="39">
        <v>77262</v>
      </c>
      <c r="G47" s="51">
        <f t="shared" si="0"/>
        <v>221</v>
      </c>
      <c r="H47" s="51"/>
      <c r="I47" s="44">
        <v>2101</v>
      </c>
      <c r="J47" s="55">
        <f t="shared" si="1"/>
        <v>379</v>
      </c>
      <c r="K47" s="60">
        <f t="shared" si="9"/>
        <v>79363</v>
      </c>
      <c r="L47" s="28">
        <v>2595</v>
      </c>
      <c r="M47" s="65">
        <f t="shared" si="7"/>
        <v>3.2697856683845117E-2</v>
      </c>
      <c r="O47" s="6"/>
      <c r="P47" s="6"/>
    </row>
    <row r="48" spans="2:17" ht="15" customHeight="1">
      <c r="B48" s="77"/>
      <c r="C48" s="15" t="s">
        <v>6</v>
      </c>
      <c r="D48" s="16">
        <v>43886</v>
      </c>
      <c r="E48" s="16"/>
      <c r="F48" s="38">
        <v>77782</v>
      </c>
      <c r="G48" s="51">
        <f t="shared" si="0"/>
        <v>520</v>
      </c>
      <c r="H48" s="51"/>
      <c r="I48" s="43">
        <v>2369</v>
      </c>
      <c r="J48" s="55">
        <f t="shared" si="1"/>
        <v>268</v>
      </c>
      <c r="K48" s="61">
        <f t="shared" si="9"/>
        <v>80151</v>
      </c>
      <c r="L48" s="27">
        <v>2666</v>
      </c>
      <c r="M48" s="66">
        <f t="shared" si="7"/>
        <v>3.3262217564347295E-2</v>
      </c>
      <c r="O48" s="6"/>
      <c r="P48" s="6"/>
    </row>
    <row r="49" spans="2:16" ht="15" customHeight="1">
      <c r="B49" s="77"/>
      <c r="C49" s="15" t="s">
        <v>5</v>
      </c>
      <c r="D49" s="16">
        <v>43887</v>
      </c>
      <c r="E49" s="16"/>
      <c r="F49" s="38">
        <v>78191</v>
      </c>
      <c r="G49" s="51">
        <f t="shared" si="0"/>
        <v>409</v>
      </c>
      <c r="H49" s="51"/>
      <c r="I49" s="43">
        <v>2821</v>
      </c>
      <c r="J49" s="55">
        <f t="shared" si="1"/>
        <v>452</v>
      </c>
      <c r="K49" s="61">
        <f t="shared" si="9"/>
        <v>81012</v>
      </c>
      <c r="L49" s="27">
        <v>2718</v>
      </c>
      <c r="M49" s="66">
        <f t="shared" si="7"/>
        <v>3.3550585098503928E-2</v>
      </c>
      <c r="O49" s="6"/>
      <c r="P49" s="6"/>
    </row>
    <row r="50" spans="2:16" ht="15" customHeight="1">
      <c r="B50" s="77"/>
      <c r="C50" s="15" t="s">
        <v>4</v>
      </c>
      <c r="D50" s="16">
        <v>43888</v>
      </c>
      <c r="E50" s="16"/>
      <c r="F50" s="38">
        <v>78630</v>
      </c>
      <c r="G50" s="51">
        <f t="shared" si="0"/>
        <v>439</v>
      </c>
      <c r="H50" s="51"/>
      <c r="I50" s="43">
        <v>3554</v>
      </c>
      <c r="J50" s="55">
        <f t="shared" si="1"/>
        <v>733</v>
      </c>
      <c r="K50" s="61">
        <f t="shared" si="9"/>
        <v>82184</v>
      </c>
      <c r="L50" s="27">
        <v>2747</v>
      </c>
      <c r="M50" s="66">
        <f t="shared" si="7"/>
        <v>3.3424997566436292E-2</v>
      </c>
      <c r="O50" s="6"/>
      <c r="P50" s="6"/>
    </row>
    <row r="51" spans="2:16" ht="15" customHeight="1">
      <c r="B51" s="77"/>
      <c r="C51" s="15" t="s">
        <v>3</v>
      </c>
      <c r="D51" s="16">
        <v>43889</v>
      </c>
      <c r="E51" s="16"/>
      <c r="F51" s="38">
        <v>78961</v>
      </c>
      <c r="G51" s="51">
        <f t="shared" si="0"/>
        <v>331</v>
      </c>
      <c r="H51" s="51"/>
      <c r="I51" s="43">
        <v>4757</v>
      </c>
      <c r="J51" s="55">
        <f t="shared" si="1"/>
        <v>1203</v>
      </c>
      <c r="K51" s="61">
        <f t="shared" si="9"/>
        <v>83718</v>
      </c>
      <c r="L51" s="27">
        <v>2791</v>
      </c>
      <c r="M51" s="66">
        <f t="shared" si="7"/>
        <v>3.3338111278339189E-2</v>
      </c>
      <c r="O51" s="6"/>
      <c r="P51" s="6"/>
    </row>
    <row r="52" spans="2:16" ht="15" customHeight="1">
      <c r="B52" s="77"/>
      <c r="C52" s="15" t="s">
        <v>2</v>
      </c>
      <c r="D52" s="16">
        <v>43890</v>
      </c>
      <c r="E52" s="16"/>
      <c r="F52" s="38">
        <v>79394</v>
      </c>
      <c r="G52" s="51">
        <f t="shared" si="0"/>
        <v>433</v>
      </c>
      <c r="H52" s="51"/>
      <c r="I52" s="43">
        <v>5716</v>
      </c>
      <c r="J52" s="55">
        <f t="shared" si="1"/>
        <v>959</v>
      </c>
      <c r="K52" s="61">
        <f t="shared" si="9"/>
        <v>85110</v>
      </c>
      <c r="L52" s="27">
        <v>2838</v>
      </c>
      <c r="M52" s="66">
        <f t="shared" si="7"/>
        <v>3.3345082833979557E-2</v>
      </c>
      <c r="O52" s="6"/>
      <c r="P52" s="6"/>
    </row>
    <row r="53" spans="2:16" ht="15" customHeight="1">
      <c r="B53" s="77"/>
      <c r="C53" s="21" t="s">
        <v>1</v>
      </c>
      <c r="D53" s="22">
        <v>43891</v>
      </c>
      <c r="E53" s="22"/>
      <c r="F53" s="40">
        <v>79971</v>
      </c>
      <c r="G53" s="52">
        <f t="shared" si="0"/>
        <v>577</v>
      </c>
      <c r="H53" s="52">
        <f>SUM(G47:G53)</f>
        <v>2930</v>
      </c>
      <c r="I53" s="45">
        <v>6496</v>
      </c>
      <c r="J53" s="56">
        <f t="shared" si="1"/>
        <v>780</v>
      </c>
      <c r="K53" s="59">
        <f t="shared" si="9"/>
        <v>86467</v>
      </c>
      <c r="L53" s="29">
        <v>2976</v>
      </c>
      <c r="M53" s="64">
        <f t="shared" si="7"/>
        <v>3.4417754750367194E-2</v>
      </c>
      <c r="O53" s="6"/>
      <c r="P53" s="6"/>
    </row>
    <row r="54" spans="2:16" ht="15" customHeight="1">
      <c r="B54" s="77" t="s">
        <v>13</v>
      </c>
      <c r="C54" s="13" t="s">
        <v>0</v>
      </c>
      <c r="D54" s="14">
        <v>43892</v>
      </c>
      <c r="E54" s="14"/>
      <c r="F54" s="39">
        <v>80174</v>
      </c>
      <c r="G54" s="51">
        <f t="shared" si="0"/>
        <v>203</v>
      </c>
      <c r="H54" s="51"/>
      <c r="I54" s="44">
        <v>8200</v>
      </c>
      <c r="J54" s="55">
        <f t="shared" si="1"/>
        <v>1704</v>
      </c>
      <c r="K54" s="60">
        <f t="shared" si="9"/>
        <v>88374</v>
      </c>
      <c r="L54" s="28">
        <v>3055</v>
      </c>
      <c r="M54" s="65">
        <f t="shared" si="7"/>
        <v>3.456899087967049E-2</v>
      </c>
      <c r="O54" s="6"/>
      <c r="P54" s="6"/>
    </row>
    <row r="55" spans="2:16" ht="15" customHeight="1">
      <c r="B55" s="77"/>
      <c r="C55" s="15" t="s">
        <v>6</v>
      </c>
      <c r="D55" s="16">
        <v>43893</v>
      </c>
      <c r="E55" s="16"/>
      <c r="F55" s="38">
        <v>80303</v>
      </c>
      <c r="G55" s="51">
        <f t="shared" si="0"/>
        <v>129</v>
      </c>
      <c r="H55" s="51"/>
      <c r="I55" s="43">
        <v>10127</v>
      </c>
      <c r="J55" s="55">
        <f t="shared" si="1"/>
        <v>1927</v>
      </c>
      <c r="K55" s="61">
        <f t="shared" si="9"/>
        <v>90430</v>
      </c>
      <c r="L55" s="27">
        <v>3120</v>
      </c>
      <c r="M55" s="66">
        <f t="shared" si="7"/>
        <v>3.4501824615724867E-2</v>
      </c>
      <c r="O55" s="6"/>
      <c r="P55" s="6"/>
    </row>
    <row r="56" spans="2:16" ht="15" customHeight="1">
      <c r="B56" s="77"/>
      <c r="C56" s="15" t="s">
        <v>5</v>
      </c>
      <c r="D56" s="16">
        <v>43894</v>
      </c>
      <c r="E56" s="16"/>
      <c r="F56" s="38">
        <v>80424</v>
      </c>
      <c r="G56" s="51">
        <f t="shared" si="0"/>
        <v>121</v>
      </c>
      <c r="H56" s="51"/>
      <c r="I56" s="43">
        <v>11979</v>
      </c>
      <c r="J56" s="55">
        <f t="shared" si="1"/>
        <v>1852</v>
      </c>
      <c r="K56" s="61">
        <f t="shared" si="9"/>
        <v>92403</v>
      </c>
      <c r="L56" s="27">
        <f>219+2984</f>
        <v>3203</v>
      </c>
      <c r="M56" s="66">
        <f t="shared" si="7"/>
        <v>3.4663376730192742E-2</v>
      </c>
      <c r="O56" s="6"/>
      <c r="P56" s="6"/>
    </row>
    <row r="57" spans="2:16" ht="15" customHeight="1">
      <c r="B57" s="77"/>
      <c r="C57" s="15" t="s">
        <v>4</v>
      </c>
      <c r="D57" s="16">
        <v>43895</v>
      </c>
      <c r="E57" s="16"/>
      <c r="F57" s="38">
        <v>80567</v>
      </c>
      <c r="G57" s="51">
        <f t="shared" si="0"/>
        <v>143</v>
      </c>
      <c r="H57" s="51"/>
      <c r="I57" s="43">
        <v>13897</v>
      </c>
      <c r="J57" s="55">
        <f t="shared" si="1"/>
        <v>1918</v>
      </c>
      <c r="K57" s="61">
        <f t="shared" si="9"/>
        <v>94464</v>
      </c>
      <c r="L57" s="27">
        <f>3016+272</f>
        <v>3288</v>
      </c>
      <c r="M57" s="66">
        <f t="shared" si="7"/>
        <v>3.480691056910569E-2</v>
      </c>
      <c r="O57" s="6"/>
      <c r="P57" s="6"/>
    </row>
    <row r="58" spans="2:16" ht="15" customHeight="1">
      <c r="B58" s="77"/>
      <c r="C58" s="15" t="s">
        <v>3</v>
      </c>
      <c r="D58" s="16">
        <v>43896</v>
      </c>
      <c r="E58" s="16"/>
      <c r="F58" s="38">
        <v>80714</v>
      </c>
      <c r="G58" s="51">
        <f t="shared" si="0"/>
        <v>147</v>
      </c>
      <c r="H58" s="51"/>
      <c r="I58" s="43">
        <v>16142</v>
      </c>
      <c r="J58" s="55">
        <f t="shared" si="1"/>
        <v>2245</v>
      </c>
      <c r="K58" s="61">
        <f t="shared" si="9"/>
        <v>96856</v>
      </c>
      <c r="L58" s="27">
        <f>341+3045</f>
        <v>3386</v>
      </c>
      <c r="M58" s="66">
        <f t="shared" si="7"/>
        <v>3.495911456182374E-2</v>
      </c>
      <c r="O58" s="6"/>
      <c r="P58" s="6"/>
    </row>
    <row r="59" spans="2:16" ht="15" customHeight="1">
      <c r="B59" s="77"/>
      <c r="C59" s="15" t="s">
        <v>2</v>
      </c>
      <c r="D59" s="16">
        <v>43897</v>
      </c>
      <c r="E59" s="16"/>
      <c r="F59" s="38">
        <v>80813</v>
      </c>
      <c r="G59" s="51">
        <f t="shared" si="0"/>
        <v>99</v>
      </c>
      <c r="H59" s="51"/>
      <c r="I59" s="43">
        <v>19207</v>
      </c>
      <c r="J59" s="55">
        <f t="shared" si="1"/>
        <v>3065</v>
      </c>
      <c r="K59" s="61">
        <f t="shared" si="9"/>
        <v>100020</v>
      </c>
      <c r="L59" s="27">
        <f>420+3073</f>
        <v>3493</v>
      </c>
      <c r="M59" s="66">
        <f t="shared" si="7"/>
        <v>3.4923015396920616E-2</v>
      </c>
      <c r="O59" s="6"/>
      <c r="P59" s="6"/>
    </row>
    <row r="60" spans="2:16" ht="15" customHeight="1">
      <c r="B60" s="77"/>
      <c r="C60" s="21" t="s">
        <v>1</v>
      </c>
      <c r="D60" s="22">
        <v>43898</v>
      </c>
      <c r="E60" s="22"/>
      <c r="F60" s="40">
        <v>80864</v>
      </c>
      <c r="G60" s="52">
        <f t="shared" si="0"/>
        <v>51</v>
      </c>
      <c r="H60" s="52">
        <f>SUM(G54:G60)</f>
        <v>893</v>
      </c>
      <c r="I60" s="45">
        <v>23646</v>
      </c>
      <c r="J60" s="56">
        <f t="shared" si="1"/>
        <v>4439</v>
      </c>
      <c r="K60" s="59">
        <f t="shared" si="9"/>
        <v>104510</v>
      </c>
      <c r="L60" s="29">
        <f>501+3100</f>
        <v>3601</v>
      </c>
      <c r="M60" s="64">
        <f t="shared" si="7"/>
        <v>3.4456032915510477E-2</v>
      </c>
      <c r="O60" s="6"/>
      <c r="P60" s="6"/>
    </row>
    <row r="61" spans="2:16" ht="15" customHeight="1">
      <c r="B61" s="77" t="s">
        <v>14</v>
      </c>
      <c r="C61" s="13" t="s">
        <v>0</v>
      </c>
      <c r="D61" s="14">
        <v>43899</v>
      </c>
      <c r="E61" s="14"/>
      <c r="F61" s="39">
        <v>80908</v>
      </c>
      <c r="G61" s="51">
        <f t="shared" si="0"/>
        <v>44</v>
      </c>
      <c r="H61" s="51"/>
      <c r="I61" s="44">
        <v>26009</v>
      </c>
      <c r="J61" s="55">
        <f t="shared" si="1"/>
        <v>2363</v>
      </c>
      <c r="K61" s="60">
        <f t="shared" si="9"/>
        <v>106917</v>
      </c>
      <c r="L61" s="28">
        <f>3123+707</f>
        <v>3830</v>
      </c>
      <c r="M61" s="66">
        <f t="shared" si="7"/>
        <v>3.5822179821730873E-2</v>
      </c>
      <c r="O61" s="6"/>
      <c r="P61" s="6"/>
    </row>
    <row r="62" spans="2:16" ht="15" customHeight="1">
      <c r="B62" s="77"/>
      <c r="C62" s="15" t="s">
        <v>6</v>
      </c>
      <c r="D62" s="16">
        <v>43900</v>
      </c>
      <c r="E62" s="16"/>
      <c r="F62" s="38">
        <v>80928</v>
      </c>
      <c r="G62" s="51">
        <f t="shared" si="0"/>
        <v>20</v>
      </c>
      <c r="H62" s="51"/>
      <c r="I62" s="43">
        <v>28892</v>
      </c>
      <c r="J62" s="55">
        <f t="shared" si="1"/>
        <v>2883</v>
      </c>
      <c r="K62" s="61">
        <f t="shared" si="9"/>
        <v>109820</v>
      </c>
      <c r="L62" s="27">
        <f>3140+889</f>
        <v>4029</v>
      </c>
      <c r="M62" s="66">
        <f t="shared" si="7"/>
        <v>3.6687306501547987E-2</v>
      </c>
      <c r="O62" s="6"/>
      <c r="P62" s="6"/>
    </row>
    <row r="63" spans="2:16" ht="15" customHeight="1">
      <c r="B63" s="77"/>
      <c r="C63" s="15" t="s">
        <v>5</v>
      </c>
      <c r="D63" s="16">
        <v>43901</v>
      </c>
      <c r="E63" s="16"/>
      <c r="F63" s="38">
        <v>80963</v>
      </c>
      <c r="G63" s="51">
        <f t="shared" si="0"/>
        <v>35</v>
      </c>
      <c r="H63" s="51"/>
      <c r="I63" s="43">
        <v>32505</v>
      </c>
      <c r="J63" s="55">
        <f t="shared" si="1"/>
        <v>3613</v>
      </c>
      <c r="K63" s="61">
        <f t="shared" si="9"/>
        <v>113468</v>
      </c>
      <c r="L63" s="27">
        <f>1138+3162</f>
        <v>4300</v>
      </c>
      <c r="M63" s="66">
        <f t="shared" si="7"/>
        <v>3.7896146931293402E-2</v>
      </c>
      <c r="O63" s="6"/>
      <c r="P63" s="6"/>
    </row>
    <row r="64" spans="2:16" ht="15" customHeight="1">
      <c r="B64" s="77"/>
      <c r="C64" s="15" t="s">
        <v>4</v>
      </c>
      <c r="D64" s="16">
        <v>43902</v>
      </c>
      <c r="E64" s="16"/>
      <c r="F64" s="38">
        <v>80981</v>
      </c>
      <c r="G64" s="51">
        <f t="shared" si="0"/>
        <v>18</v>
      </c>
      <c r="H64" s="51"/>
      <c r="I64" s="43">
        <v>38592</v>
      </c>
      <c r="J64" s="55">
        <f t="shared" si="1"/>
        <v>6087</v>
      </c>
      <c r="K64" s="61">
        <f t="shared" ref="K64:K86" si="10">F64+I64</f>
        <v>119573</v>
      </c>
      <c r="L64" s="27">
        <f>3173+1464</f>
        <v>4637</v>
      </c>
      <c r="M64" s="66">
        <f t="shared" si="7"/>
        <v>3.8779657615013424E-2</v>
      </c>
      <c r="O64" s="6"/>
      <c r="P64" s="6"/>
    </row>
    <row r="65" spans="2:16" ht="15" customHeight="1">
      <c r="B65" s="77"/>
      <c r="C65" s="15" t="s">
        <v>3</v>
      </c>
      <c r="D65" s="16">
        <v>43903</v>
      </c>
      <c r="E65" s="16"/>
      <c r="F65" s="38">
        <v>81003</v>
      </c>
      <c r="G65" s="51">
        <f t="shared" si="0"/>
        <v>22</v>
      </c>
      <c r="H65" s="51"/>
      <c r="I65" s="43">
        <v>45983</v>
      </c>
      <c r="J65" s="55">
        <f t="shared" si="1"/>
        <v>7391</v>
      </c>
      <c r="K65" s="61">
        <f t="shared" si="10"/>
        <v>126986</v>
      </c>
      <c r="L65" s="27">
        <f>1805+3181</f>
        <v>4986</v>
      </c>
      <c r="M65" s="66">
        <f t="shared" si="7"/>
        <v>3.9264170853479913E-2</v>
      </c>
      <c r="O65" s="6"/>
      <c r="P65" s="6"/>
    </row>
    <row r="66" spans="2:16" ht="15" customHeight="1">
      <c r="B66" s="77"/>
      <c r="C66" s="15" t="s">
        <v>2</v>
      </c>
      <c r="D66" s="16">
        <v>43904</v>
      </c>
      <c r="E66" s="16"/>
      <c r="F66" s="38">
        <v>81026</v>
      </c>
      <c r="G66" s="51">
        <f t="shared" si="0"/>
        <v>23</v>
      </c>
      <c r="H66" s="51"/>
      <c r="I66" s="43">
        <v>55091</v>
      </c>
      <c r="J66" s="55">
        <f t="shared" si="1"/>
        <v>9108</v>
      </c>
      <c r="K66" s="61">
        <f t="shared" si="10"/>
        <v>136117</v>
      </c>
      <c r="L66" s="27">
        <f>3194+2236</f>
        <v>5430</v>
      </c>
      <c r="M66" s="66">
        <f t="shared" si="7"/>
        <v>3.9892151604869343E-2</v>
      </c>
      <c r="O66" s="6"/>
    </row>
    <row r="67" spans="2:16" ht="15" customHeight="1">
      <c r="B67" s="77"/>
      <c r="C67" s="21" t="s">
        <v>1</v>
      </c>
      <c r="D67" s="22">
        <v>43905</v>
      </c>
      <c r="E67" s="22"/>
      <c r="F67" s="40">
        <v>81054</v>
      </c>
      <c r="G67" s="52">
        <f t="shared" si="0"/>
        <v>28</v>
      </c>
      <c r="H67" s="52">
        <f>SUM(G61:G67)</f>
        <v>190</v>
      </c>
      <c r="I67" s="45">
        <v>63733</v>
      </c>
      <c r="J67" s="56">
        <f t="shared" si="1"/>
        <v>8642</v>
      </c>
      <c r="K67" s="59">
        <f t="shared" si="10"/>
        <v>144787</v>
      </c>
      <c r="L67" s="29">
        <f>2621+3204</f>
        <v>5825</v>
      </c>
      <c r="M67" s="64">
        <f t="shared" si="7"/>
        <v>4.0231512497668986E-2</v>
      </c>
    </row>
    <row r="68" spans="2:16" ht="15" customHeight="1">
      <c r="B68" s="77" t="s">
        <v>15</v>
      </c>
      <c r="C68" s="15" t="s">
        <v>0</v>
      </c>
      <c r="D68" s="16">
        <v>43906</v>
      </c>
      <c r="E68" s="16"/>
      <c r="F68" s="38">
        <v>81078</v>
      </c>
      <c r="G68" s="51">
        <f t="shared" si="0"/>
        <v>24</v>
      </c>
      <c r="H68" s="51"/>
      <c r="I68" s="43">
        <v>74354</v>
      </c>
      <c r="J68" s="55">
        <f t="shared" si="1"/>
        <v>10621</v>
      </c>
      <c r="K68" s="61">
        <f t="shared" si="10"/>
        <v>155432</v>
      </c>
      <c r="L68" s="27">
        <f>3218+3194</f>
        <v>6412</v>
      </c>
      <c r="M68" s="66">
        <f t="shared" si="7"/>
        <v>4.1252766483092285E-2</v>
      </c>
    </row>
    <row r="69" spans="2:16" ht="15" customHeight="1">
      <c r="B69" s="77"/>
      <c r="C69" s="15" t="s">
        <v>6</v>
      </c>
      <c r="D69" s="16">
        <v>43907</v>
      </c>
      <c r="E69" s="16"/>
      <c r="F69" s="38">
        <v>81128</v>
      </c>
      <c r="G69" s="51">
        <f t="shared" si="0"/>
        <v>50</v>
      </c>
      <c r="H69" s="51"/>
      <c r="I69" s="43">
        <v>85521</v>
      </c>
      <c r="J69" s="55">
        <f t="shared" si="1"/>
        <v>11167</v>
      </c>
      <c r="K69" s="61">
        <f t="shared" si="10"/>
        <v>166649</v>
      </c>
      <c r="L69" s="27">
        <f>3870+3231</f>
        <v>7101</v>
      </c>
      <c r="M69" s="66">
        <f t="shared" si="7"/>
        <v>4.2610516714771764E-2</v>
      </c>
      <c r="O69" s="6"/>
    </row>
    <row r="70" spans="2:16" ht="15" customHeight="1">
      <c r="B70" s="77"/>
      <c r="C70" s="15" t="s">
        <v>5</v>
      </c>
      <c r="D70" s="16">
        <v>43908</v>
      </c>
      <c r="E70" s="16"/>
      <c r="F70" s="38">
        <v>81186</v>
      </c>
      <c r="G70" s="51">
        <f t="shared" si="0"/>
        <v>58</v>
      </c>
      <c r="H70" s="51"/>
      <c r="I70" s="43">
        <v>98192</v>
      </c>
      <c r="J70" s="55">
        <f t="shared" si="1"/>
        <v>12671</v>
      </c>
      <c r="K70" s="61">
        <f t="shared" si="10"/>
        <v>179378</v>
      </c>
      <c r="L70" s="27">
        <f>3242+4710</f>
        <v>7952</v>
      </c>
      <c r="M70" s="66">
        <f t="shared" si="7"/>
        <v>4.4330965893253353E-2</v>
      </c>
      <c r="O70" s="6"/>
    </row>
    <row r="71" spans="2:16" ht="15" customHeight="1">
      <c r="B71" s="77"/>
      <c r="C71" s="15" t="s">
        <v>4</v>
      </c>
      <c r="D71" s="16">
        <v>43909</v>
      </c>
      <c r="E71" s="16"/>
      <c r="F71" s="38">
        <v>81246</v>
      </c>
      <c r="G71" s="51">
        <f t="shared" ref="G71:G134" si="11">F71-F70</f>
        <v>60</v>
      </c>
      <c r="H71" s="51"/>
      <c r="I71" s="43">
        <v>116679</v>
      </c>
      <c r="J71" s="55">
        <f t="shared" ref="J71:J99" si="12">I71-I70</f>
        <v>18487</v>
      </c>
      <c r="K71" s="61">
        <f t="shared" si="10"/>
        <v>197925</v>
      </c>
      <c r="L71" s="27">
        <f>5694+3250</f>
        <v>8944</v>
      </c>
      <c r="M71" s="66">
        <f t="shared" si="7"/>
        <v>4.5188834154351397E-2</v>
      </c>
      <c r="O71" s="6"/>
    </row>
    <row r="72" spans="2:16" ht="15" customHeight="1">
      <c r="B72" s="77"/>
      <c r="C72" s="15" t="s">
        <v>3</v>
      </c>
      <c r="D72" s="16">
        <v>43910</v>
      </c>
      <c r="E72" s="16"/>
      <c r="F72" s="38">
        <v>81337</v>
      </c>
      <c r="G72" s="51">
        <f t="shared" si="11"/>
        <v>91</v>
      </c>
      <c r="H72" s="51"/>
      <c r="I72" s="43">
        <v>140678</v>
      </c>
      <c r="J72" s="55">
        <f t="shared" si="12"/>
        <v>23999</v>
      </c>
      <c r="K72" s="61">
        <f t="shared" si="10"/>
        <v>222015</v>
      </c>
      <c r="L72" s="27">
        <f>3253+6705</f>
        <v>9958</v>
      </c>
      <c r="M72" s="66">
        <f t="shared" si="7"/>
        <v>4.4852825259554537E-2</v>
      </c>
      <c r="O72" s="6"/>
    </row>
    <row r="73" spans="2:16" ht="15" customHeight="1">
      <c r="B73" s="77"/>
      <c r="C73" s="15" t="s">
        <v>2</v>
      </c>
      <c r="D73" s="16">
        <v>43911</v>
      </c>
      <c r="E73" s="16"/>
      <c r="F73" s="38">
        <v>81416</v>
      </c>
      <c r="G73" s="51">
        <f t="shared" si="11"/>
        <v>79</v>
      </c>
      <c r="H73" s="51"/>
      <c r="I73" s="43">
        <v>166138</v>
      </c>
      <c r="J73" s="55">
        <f t="shared" si="12"/>
        <v>25460</v>
      </c>
      <c r="K73" s="61">
        <f t="shared" si="10"/>
        <v>247554</v>
      </c>
      <c r="L73" s="27">
        <f>3261+8124</f>
        <v>11385</v>
      </c>
      <c r="M73" s="66">
        <f t="shared" si="7"/>
        <v>4.5989965825638045E-2</v>
      </c>
    </row>
    <row r="74" spans="2:16" ht="15" customHeight="1">
      <c r="B74" s="77"/>
      <c r="C74" s="21" t="s">
        <v>1</v>
      </c>
      <c r="D74" s="22">
        <v>43912</v>
      </c>
      <c r="E74" s="22"/>
      <c r="F74" s="40">
        <v>81562</v>
      </c>
      <c r="G74" s="52">
        <f t="shared" si="11"/>
        <v>146</v>
      </c>
      <c r="H74" s="52">
        <f>SUM(G68:G74)</f>
        <v>508</v>
      </c>
      <c r="I74" s="45">
        <v>192965</v>
      </c>
      <c r="J74" s="56">
        <f t="shared" si="12"/>
        <v>26827</v>
      </c>
      <c r="K74" s="59">
        <f t="shared" si="10"/>
        <v>274527</v>
      </c>
      <c r="L74" s="29">
        <f>9728+3267</f>
        <v>12995</v>
      </c>
      <c r="M74" s="64">
        <f t="shared" si="7"/>
        <v>4.7335963311441132E-2</v>
      </c>
    </row>
    <row r="75" spans="2:16" ht="15" customHeight="1">
      <c r="B75" s="77" t="s">
        <v>16</v>
      </c>
      <c r="C75" s="15" t="s">
        <v>0</v>
      </c>
      <c r="D75" s="16">
        <v>43913</v>
      </c>
      <c r="E75" s="16"/>
      <c r="F75" s="38">
        <v>81649</v>
      </c>
      <c r="G75" s="51">
        <f t="shared" si="11"/>
        <v>87</v>
      </c>
      <c r="H75" s="51"/>
      <c r="I75" s="43">
        <v>219747</v>
      </c>
      <c r="J75" s="55">
        <f t="shared" si="12"/>
        <v>26782</v>
      </c>
      <c r="K75" s="61">
        <f t="shared" si="10"/>
        <v>301396</v>
      </c>
      <c r="L75" s="27">
        <f>3276+11425</f>
        <v>14701</v>
      </c>
      <c r="M75" s="66">
        <f t="shared" si="7"/>
        <v>4.8776360668356583E-2</v>
      </c>
    </row>
    <row r="76" spans="2:16" ht="15" customHeight="1">
      <c r="B76" s="77"/>
      <c r="C76" s="15" t="s">
        <v>6</v>
      </c>
      <c r="D76" s="16">
        <v>43914</v>
      </c>
      <c r="E76" s="16"/>
      <c r="F76" s="38">
        <v>81753</v>
      </c>
      <c r="G76" s="51">
        <f t="shared" si="11"/>
        <v>104</v>
      </c>
      <c r="H76" s="51"/>
      <c r="I76" s="43">
        <v>254002</v>
      </c>
      <c r="J76" s="55">
        <f t="shared" si="12"/>
        <v>34255</v>
      </c>
      <c r="K76" s="61">
        <f t="shared" si="10"/>
        <v>335755</v>
      </c>
      <c r="L76" s="27">
        <f>13119+3283</f>
        <v>16402</v>
      </c>
      <c r="M76" s="66">
        <f t="shared" si="7"/>
        <v>4.8851096781879641E-2</v>
      </c>
    </row>
    <row r="77" spans="2:16" ht="15" customHeight="1">
      <c r="B77" s="77"/>
      <c r="C77" s="15" t="s">
        <v>5</v>
      </c>
      <c r="D77" s="16">
        <v>43915</v>
      </c>
      <c r="E77" s="16"/>
      <c r="F77" s="38">
        <v>81853</v>
      </c>
      <c r="G77" s="51">
        <f t="shared" si="11"/>
        <v>100</v>
      </c>
      <c r="H77" s="51"/>
      <c r="I77" s="43">
        <v>288802</v>
      </c>
      <c r="J77" s="55">
        <f t="shared" si="12"/>
        <v>34800</v>
      </c>
      <c r="K77" s="61">
        <f t="shared" si="10"/>
        <v>370655</v>
      </c>
      <c r="L77" s="27">
        <f>3287+15600</f>
        <v>18887</v>
      </c>
      <c r="M77" s="66">
        <f t="shared" si="7"/>
        <v>5.0955740513415441E-2</v>
      </c>
    </row>
    <row r="78" spans="2:16" ht="15" customHeight="1">
      <c r="B78" s="77"/>
      <c r="C78" s="15" t="s">
        <v>4</v>
      </c>
      <c r="D78" s="16">
        <v>43916</v>
      </c>
      <c r="E78" s="16"/>
      <c r="F78" s="38">
        <v>81996</v>
      </c>
      <c r="G78" s="51">
        <f t="shared" si="11"/>
        <v>143</v>
      </c>
      <c r="H78" s="51"/>
      <c r="I78" s="43">
        <v>329630</v>
      </c>
      <c r="J78" s="55">
        <f t="shared" si="12"/>
        <v>40828</v>
      </c>
      <c r="K78" s="61">
        <f t="shared" si="10"/>
        <v>411626</v>
      </c>
      <c r="L78" s="27">
        <f>17866+3293</f>
        <v>21159</v>
      </c>
      <c r="M78" s="66">
        <f t="shared" si="7"/>
        <v>5.1403458479299169E-2</v>
      </c>
    </row>
    <row r="79" spans="2:16" ht="15" customHeight="1">
      <c r="B79" s="77"/>
      <c r="C79" s="15" t="s">
        <v>3</v>
      </c>
      <c r="D79" s="16">
        <v>43917</v>
      </c>
      <c r="E79" s="16"/>
      <c r="F79" s="38">
        <v>82098</v>
      </c>
      <c r="G79" s="51">
        <f t="shared" si="11"/>
        <v>102</v>
      </c>
      <c r="H79" s="51"/>
      <c r="I79" s="43">
        <v>378577</v>
      </c>
      <c r="J79" s="55">
        <f t="shared" si="12"/>
        <v>48947</v>
      </c>
      <c r="K79" s="61">
        <f t="shared" si="10"/>
        <v>460675</v>
      </c>
      <c r="L79" s="27">
        <f>3298+20422</f>
        <v>23720</v>
      </c>
      <c r="M79" s="66">
        <f t="shared" si="7"/>
        <v>5.1489661909155042E-2</v>
      </c>
    </row>
    <row r="80" spans="2:16" ht="15" customHeight="1">
      <c r="B80" s="77"/>
      <c r="C80" s="15" t="s">
        <v>2</v>
      </c>
      <c r="D80" s="16">
        <v>43918</v>
      </c>
      <c r="E80" s="16"/>
      <c r="F80" s="38">
        <v>82279</v>
      </c>
      <c r="G80" s="51">
        <f t="shared" si="11"/>
        <v>181</v>
      </c>
      <c r="H80" s="51"/>
      <c r="I80" s="43">
        <v>433999</v>
      </c>
      <c r="J80" s="55">
        <f t="shared" si="12"/>
        <v>55422</v>
      </c>
      <c r="K80" s="61">
        <f t="shared" si="10"/>
        <v>516278</v>
      </c>
      <c r="L80" s="27">
        <f>24027+3301</f>
        <v>27328</v>
      </c>
      <c r="M80" s="66">
        <f t="shared" si="7"/>
        <v>5.2932722293028173E-2</v>
      </c>
    </row>
    <row r="81" spans="2:23" ht="15" customHeight="1">
      <c r="B81" s="77"/>
      <c r="C81" s="21" t="s">
        <v>1</v>
      </c>
      <c r="D81" s="22">
        <v>43919</v>
      </c>
      <c r="E81" s="22"/>
      <c r="F81" s="40">
        <v>82345</v>
      </c>
      <c r="G81" s="52">
        <f t="shared" si="11"/>
        <v>66</v>
      </c>
      <c r="H81" s="52">
        <f>SUM(G75:G81)</f>
        <v>783</v>
      </c>
      <c r="I81" s="45">
        <v>488334</v>
      </c>
      <c r="J81" s="56">
        <f t="shared" si="12"/>
        <v>54335</v>
      </c>
      <c r="K81" s="59">
        <f t="shared" si="10"/>
        <v>570679</v>
      </c>
      <c r="L81" s="29">
        <f>27568+3306</f>
        <v>30874</v>
      </c>
      <c r="M81" s="64">
        <f t="shared" si="7"/>
        <v>5.4100466286651515E-2</v>
      </c>
    </row>
    <row r="82" spans="2:23" ht="15" customHeight="1">
      <c r="B82" s="76" t="s">
        <v>18</v>
      </c>
      <c r="C82" s="15" t="s">
        <v>0</v>
      </c>
      <c r="D82" s="16">
        <v>43920</v>
      </c>
      <c r="E82" s="16"/>
      <c r="F82" s="38">
        <v>82505</v>
      </c>
      <c r="G82" s="51">
        <f t="shared" si="11"/>
        <v>160</v>
      </c>
      <c r="H82" s="51"/>
      <c r="I82" s="43">
        <v>547376</v>
      </c>
      <c r="J82" s="55">
        <f t="shared" si="12"/>
        <v>59042</v>
      </c>
      <c r="K82" s="61">
        <f t="shared" si="10"/>
        <v>629881</v>
      </c>
      <c r="L82" s="27">
        <f>3313+31719</f>
        <v>35032</v>
      </c>
      <c r="M82" s="66">
        <f t="shared" si="7"/>
        <v>5.5616854612220407E-2</v>
      </c>
    </row>
    <row r="83" spans="2:23" s="6" customFormat="1" ht="15" customHeight="1">
      <c r="B83" s="76"/>
      <c r="C83" s="15" t="s">
        <v>6</v>
      </c>
      <c r="D83" s="16">
        <v>43921</v>
      </c>
      <c r="E83" s="16"/>
      <c r="F83" s="38">
        <v>82563</v>
      </c>
      <c r="G83" s="51">
        <f t="shared" si="11"/>
        <v>58</v>
      </c>
      <c r="H83" s="51"/>
      <c r="I83" s="43">
        <v>580595</v>
      </c>
      <c r="J83" s="55">
        <f t="shared" si="12"/>
        <v>33219</v>
      </c>
      <c r="K83" s="61">
        <f t="shared" si="10"/>
        <v>663158</v>
      </c>
      <c r="L83" s="27">
        <f>34520+3314</f>
        <v>37834</v>
      </c>
      <c r="M83" s="66">
        <f t="shared" si="7"/>
        <v>5.705126078551416E-2</v>
      </c>
      <c r="Q83" s="7"/>
    </row>
    <row r="84" spans="2:23" s="6" customFormat="1" ht="15" customHeight="1">
      <c r="B84" s="76"/>
      <c r="C84" s="15" t="s">
        <v>5</v>
      </c>
      <c r="D84" s="16">
        <v>43922</v>
      </c>
      <c r="E84" s="16"/>
      <c r="F84" s="38">
        <v>82691</v>
      </c>
      <c r="G84" s="51">
        <f t="shared" si="11"/>
        <v>128</v>
      </c>
      <c r="H84" s="51"/>
      <c r="I84" s="43">
        <v>653273</v>
      </c>
      <c r="J84" s="55">
        <f t="shared" si="12"/>
        <v>72678</v>
      </c>
      <c r="K84" s="61">
        <f t="shared" si="10"/>
        <v>735964</v>
      </c>
      <c r="L84" s="27">
        <f>40905+3321</f>
        <v>44226</v>
      </c>
      <c r="M84" s="66">
        <f t="shared" ref="M84:M136" si="13">L84/K84</f>
        <v>6.0092613225646907E-2</v>
      </c>
      <c r="Q84" s="7"/>
    </row>
    <row r="85" spans="2:23" s="6" customFormat="1" ht="15" customHeight="1">
      <c r="B85" s="76"/>
      <c r="C85" s="15" t="s">
        <v>4</v>
      </c>
      <c r="D85" s="16">
        <v>43923</v>
      </c>
      <c r="E85" s="16"/>
      <c r="F85" s="38">
        <v>82735</v>
      </c>
      <c r="G85" s="51">
        <f t="shared" si="11"/>
        <v>44</v>
      </c>
      <c r="H85" s="51"/>
      <c r="I85" s="43">
        <v>693577</v>
      </c>
      <c r="J85" s="55">
        <f t="shared" si="12"/>
        <v>40304</v>
      </c>
      <c r="K85" s="61">
        <f t="shared" si="10"/>
        <v>776312</v>
      </c>
      <c r="L85" s="27">
        <f>3327+43955</f>
        <v>47282</v>
      </c>
      <c r="M85" s="66">
        <f t="shared" si="13"/>
        <v>6.0905924422139553E-2</v>
      </c>
      <c r="Q85" s="7"/>
    </row>
    <row r="86" spans="2:23" s="6" customFormat="1" ht="15" customHeight="1">
      <c r="B86" s="76"/>
      <c r="C86" s="15" t="s">
        <v>3</v>
      </c>
      <c r="D86" s="16">
        <v>43924</v>
      </c>
      <c r="E86" s="16"/>
      <c r="F86" s="38">
        <v>82858</v>
      </c>
      <c r="G86" s="51">
        <f t="shared" si="11"/>
        <v>123</v>
      </c>
      <c r="H86" s="51"/>
      <c r="I86" s="43">
        <v>753074</v>
      </c>
      <c r="J86" s="55">
        <f t="shared" si="12"/>
        <v>59497</v>
      </c>
      <c r="K86" s="61">
        <f t="shared" si="10"/>
        <v>835932</v>
      </c>
      <c r="L86" s="27">
        <f>3331+50653</f>
        <v>53984</v>
      </c>
      <c r="M86" s="66">
        <f t="shared" si="13"/>
        <v>6.4579415550547178E-2</v>
      </c>
      <c r="Q86" s="7"/>
    </row>
    <row r="87" spans="2:23" s="6" customFormat="1" ht="15" customHeight="1">
      <c r="B87" s="76"/>
      <c r="C87" s="15" t="s">
        <v>2</v>
      </c>
      <c r="D87" s="16">
        <v>43925</v>
      </c>
      <c r="E87" s="16"/>
      <c r="F87" s="38">
        <v>82899</v>
      </c>
      <c r="G87" s="51">
        <f t="shared" si="11"/>
        <v>41</v>
      </c>
      <c r="H87" s="51"/>
      <c r="I87" s="43">
        <v>833703</v>
      </c>
      <c r="J87" s="55">
        <f t="shared" si="12"/>
        <v>80629</v>
      </c>
      <c r="K87" s="61">
        <f t="shared" ref="K87:K99" si="14">F87+I87</f>
        <v>916602</v>
      </c>
      <c r="L87" s="27">
        <f>55813+3335</f>
        <v>59148</v>
      </c>
      <c r="M87" s="66">
        <f t="shared" si="13"/>
        <v>6.4529643182100846E-2</v>
      </c>
      <c r="Q87" s="7"/>
    </row>
    <row r="88" spans="2:23" s="6" customFormat="1" ht="15" customHeight="1">
      <c r="B88" s="76"/>
      <c r="C88" s="21" t="s">
        <v>1</v>
      </c>
      <c r="D88" s="22">
        <v>43926</v>
      </c>
      <c r="E88" s="22"/>
      <c r="F88" s="40">
        <v>82938</v>
      </c>
      <c r="G88" s="52">
        <f t="shared" si="11"/>
        <v>39</v>
      </c>
      <c r="H88" s="52">
        <f>SUM(G82:G88)</f>
        <v>593</v>
      </c>
      <c r="I88" s="45">
        <v>890014</v>
      </c>
      <c r="J88" s="56">
        <f t="shared" si="12"/>
        <v>56311</v>
      </c>
      <c r="K88" s="59">
        <f t="shared" si="14"/>
        <v>972952</v>
      </c>
      <c r="L88" s="29">
        <f>3338+61474</f>
        <v>64812</v>
      </c>
      <c r="M88" s="64">
        <f t="shared" si="13"/>
        <v>6.6613769230136732E-2</v>
      </c>
      <c r="Q88" s="7"/>
    </row>
    <row r="89" spans="2:23" s="6" customFormat="1" ht="15" customHeight="1">
      <c r="B89" s="76" t="s">
        <v>19</v>
      </c>
      <c r="C89" s="15" t="s">
        <v>0</v>
      </c>
      <c r="D89" s="16">
        <v>43927</v>
      </c>
      <c r="E89" s="16"/>
      <c r="F89" s="38">
        <v>83039</v>
      </c>
      <c r="G89" s="51">
        <f t="shared" si="11"/>
        <v>101</v>
      </c>
      <c r="H89" s="51"/>
      <c r="I89" s="43">
        <v>946467</v>
      </c>
      <c r="J89" s="55">
        <f t="shared" si="12"/>
        <v>56453</v>
      </c>
      <c r="K89" s="61">
        <f t="shared" si="14"/>
        <v>1029506</v>
      </c>
      <c r="L89" s="27">
        <f>67268+3340</f>
        <v>70608</v>
      </c>
      <c r="M89" s="66">
        <f t="shared" si="13"/>
        <v>6.8584350164059268E-2</v>
      </c>
      <c r="Q89" s="7"/>
    </row>
    <row r="90" spans="2:23" s="6" customFormat="1" ht="15" customHeight="1">
      <c r="B90" s="76"/>
      <c r="C90" s="15" t="s">
        <v>6</v>
      </c>
      <c r="D90" s="16">
        <v>43928</v>
      </c>
      <c r="E90" s="16"/>
      <c r="F90" s="38">
        <v>83071</v>
      </c>
      <c r="G90" s="68">
        <f t="shared" si="11"/>
        <v>32</v>
      </c>
      <c r="H90" s="68"/>
      <c r="I90" s="43">
        <v>986648</v>
      </c>
      <c r="J90" s="69">
        <f t="shared" si="12"/>
        <v>40181</v>
      </c>
      <c r="K90" s="61">
        <f t="shared" si="14"/>
        <v>1069719</v>
      </c>
      <c r="L90" s="27">
        <f>3340+71491</f>
        <v>74831</v>
      </c>
      <c r="M90" s="66">
        <f t="shared" si="13"/>
        <v>6.9953885085709419E-2</v>
      </c>
      <c r="Q90" s="7"/>
    </row>
    <row r="91" spans="2:23" s="6" customFormat="1" ht="15" customHeight="1">
      <c r="B91" s="76"/>
      <c r="C91" s="15" t="s">
        <v>5</v>
      </c>
      <c r="D91" s="16">
        <v>43929</v>
      </c>
      <c r="E91" s="16"/>
      <c r="F91" s="38">
        <v>83189</v>
      </c>
      <c r="G91" s="68">
        <f t="shared" si="11"/>
        <v>118</v>
      </c>
      <c r="H91" s="68"/>
      <c r="I91" s="43">
        <v>1048312</v>
      </c>
      <c r="J91" s="69">
        <f t="shared" si="12"/>
        <v>61664</v>
      </c>
      <c r="K91" s="61">
        <f t="shared" si="14"/>
        <v>1131501</v>
      </c>
      <c r="L91" s="27">
        <f>78884+3342</f>
        <v>82226</v>
      </c>
      <c r="M91" s="66">
        <f t="shared" si="13"/>
        <v>7.2669842978486096E-2</v>
      </c>
      <c r="Q91" s="7"/>
    </row>
    <row r="92" spans="2:23" s="6" customFormat="1" ht="15" customHeight="1">
      <c r="B92" s="76"/>
      <c r="C92" s="15" t="s">
        <v>4</v>
      </c>
      <c r="D92" s="16">
        <v>43930</v>
      </c>
      <c r="E92" s="16"/>
      <c r="F92" s="38">
        <v>83264</v>
      </c>
      <c r="G92" s="68">
        <f t="shared" si="11"/>
        <v>75</v>
      </c>
      <c r="H92" s="68"/>
      <c r="I92" s="43">
        <v>1097859</v>
      </c>
      <c r="J92" s="69">
        <f t="shared" si="12"/>
        <v>49547</v>
      </c>
      <c r="K92" s="61">
        <f t="shared" si="14"/>
        <v>1181123</v>
      </c>
      <c r="L92" s="27">
        <f>3344+86079</f>
        <v>89423</v>
      </c>
      <c r="M92" s="66">
        <f t="shared" si="13"/>
        <v>7.5710150424638245E-2</v>
      </c>
      <c r="O92" s="1"/>
      <c r="P92" s="1"/>
      <c r="Q92" s="1"/>
      <c r="R92" s="1"/>
      <c r="S92" s="1"/>
      <c r="T92" s="1"/>
      <c r="U92" s="1"/>
    </row>
    <row r="93" spans="2:23" s="6" customFormat="1" ht="15" customHeight="1">
      <c r="B93" s="76"/>
      <c r="C93" s="15" t="s">
        <v>3</v>
      </c>
      <c r="D93" s="16">
        <v>43931</v>
      </c>
      <c r="E93" s="16"/>
      <c r="F93" s="38">
        <v>83323</v>
      </c>
      <c r="G93" s="68">
        <f t="shared" si="11"/>
        <v>59</v>
      </c>
      <c r="H93" s="68"/>
      <c r="I93" s="43">
        <v>1151433</v>
      </c>
      <c r="J93" s="69">
        <f t="shared" si="12"/>
        <v>53574</v>
      </c>
      <c r="K93" s="61">
        <f t="shared" si="14"/>
        <v>1234756</v>
      </c>
      <c r="L93" s="27">
        <f>92467+3346</f>
        <v>95813</v>
      </c>
      <c r="M93" s="66">
        <f t="shared" si="13"/>
        <v>7.7596707365665762E-2</v>
      </c>
      <c r="O93" s="11"/>
      <c r="P93" s="11"/>
      <c r="Q93" s="12" t="s">
        <v>27</v>
      </c>
      <c r="R93" s="67">
        <f>M137</f>
        <v>0.1186544401651075</v>
      </c>
      <c r="S93" s="1"/>
      <c r="U93" s="11"/>
      <c r="V93" s="12" t="s">
        <v>26</v>
      </c>
      <c r="W93" s="67">
        <f>SUM(M7:M137)/COUNT(L7:L137)</f>
        <v>6.0415183120938097E-2</v>
      </c>
    </row>
    <row r="94" spans="2:23" s="6" customFormat="1" ht="15" customHeight="1">
      <c r="B94" s="76"/>
      <c r="C94" s="15" t="s">
        <v>2</v>
      </c>
      <c r="D94" s="16">
        <v>43932</v>
      </c>
      <c r="E94" s="16"/>
      <c r="F94" s="38">
        <v>83400</v>
      </c>
      <c r="G94" s="68">
        <f t="shared" si="11"/>
        <v>77</v>
      </c>
      <c r="H94" s="68"/>
      <c r="I94" s="43">
        <v>1246808</v>
      </c>
      <c r="J94" s="69">
        <f t="shared" si="12"/>
        <v>95375</v>
      </c>
      <c r="K94" s="61">
        <f t="shared" si="14"/>
        <v>1330208</v>
      </c>
      <c r="L94" s="27">
        <f>3349+103539</f>
        <v>106888</v>
      </c>
      <c r="M94" s="66">
        <f t="shared" si="13"/>
        <v>8.0354350597801244E-2</v>
      </c>
      <c r="O94" s="1"/>
      <c r="P94" s="1"/>
      <c r="Q94" s="1"/>
      <c r="R94" s="1"/>
      <c r="S94" s="1"/>
      <c r="T94" s="1"/>
      <c r="U94" s="1"/>
    </row>
    <row r="95" spans="2:23" s="6" customFormat="1" ht="15" customHeight="1">
      <c r="B95" s="76"/>
      <c r="C95" s="21" t="s">
        <v>1</v>
      </c>
      <c r="D95" s="22">
        <v>43933</v>
      </c>
      <c r="E95" s="22"/>
      <c r="F95" s="40">
        <v>83482</v>
      </c>
      <c r="G95" s="52">
        <f t="shared" si="11"/>
        <v>82</v>
      </c>
      <c r="H95" s="52">
        <f>SUM(G89:G95)</f>
        <v>544</v>
      </c>
      <c r="I95" s="45">
        <v>1262350</v>
      </c>
      <c r="J95" s="56">
        <f t="shared" si="12"/>
        <v>15542</v>
      </c>
      <c r="K95" s="59">
        <f t="shared" si="14"/>
        <v>1345832</v>
      </c>
      <c r="L95" s="29">
        <f>105521+3349</f>
        <v>108870</v>
      </c>
      <c r="M95" s="64">
        <f t="shared" si="13"/>
        <v>8.0894197789917313E-2</v>
      </c>
      <c r="O95" s="1"/>
      <c r="P95" s="1"/>
      <c r="Q95" s="1"/>
      <c r="R95" s="1"/>
      <c r="S95" s="1"/>
      <c r="T95" s="1"/>
      <c r="U95" s="1"/>
    </row>
    <row r="96" spans="2:23" s="6" customFormat="1" ht="15" customHeight="1">
      <c r="B96" s="77" t="s">
        <v>34</v>
      </c>
      <c r="C96" s="15" t="s">
        <v>0</v>
      </c>
      <c r="D96" s="16">
        <v>43934</v>
      </c>
      <c r="E96" s="16"/>
      <c r="F96" s="38">
        <v>83597</v>
      </c>
      <c r="G96" s="68">
        <f t="shared" si="11"/>
        <v>115</v>
      </c>
      <c r="H96" s="68"/>
      <c r="I96" s="43">
        <v>1299970</v>
      </c>
      <c r="J96" s="69">
        <f t="shared" si="12"/>
        <v>37620</v>
      </c>
      <c r="K96" s="61">
        <f t="shared" si="14"/>
        <v>1383567</v>
      </c>
      <c r="L96" s="27">
        <f>3351+110743</f>
        <v>114094</v>
      </c>
      <c r="M96" s="66">
        <f t="shared" si="13"/>
        <v>8.2463660957510551E-2</v>
      </c>
      <c r="O96" s="1"/>
      <c r="P96" s="1"/>
      <c r="Q96" s="1"/>
      <c r="R96" s="1"/>
      <c r="S96" s="1"/>
      <c r="T96" s="1"/>
      <c r="U96" s="1"/>
    </row>
    <row r="97" spans="2:21" s="6" customFormat="1" ht="15" customHeight="1">
      <c r="B97" s="77"/>
      <c r="C97" s="15" t="s">
        <v>6</v>
      </c>
      <c r="D97" s="16">
        <v>43935</v>
      </c>
      <c r="E97" s="16"/>
      <c r="F97" s="38">
        <v>83696</v>
      </c>
      <c r="G97" s="68">
        <f t="shared" si="11"/>
        <v>99</v>
      </c>
      <c r="H97" s="68"/>
      <c r="I97" s="43">
        <v>1348101</v>
      </c>
      <c r="J97" s="69">
        <f t="shared" si="12"/>
        <v>48131</v>
      </c>
      <c r="K97" s="61">
        <f t="shared" si="14"/>
        <v>1431797</v>
      </c>
      <c r="L97" s="27">
        <f>116184+3351</f>
        <v>119535</v>
      </c>
      <c r="M97" s="66">
        <f t="shared" si="13"/>
        <v>8.3485996967447199E-2</v>
      </c>
      <c r="O97" s="1"/>
      <c r="P97" s="1"/>
      <c r="Q97" s="1"/>
      <c r="R97" s="1"/>
      <c r="S97" s="1"/>
      <c r="T97" s="1"/>
      <c r="U97" s="1"/>
    </row>
    <row r="98" spans="2:21" s="6" customFormat="1" ht="15" customHeight="1">
      <c r="B98" s="77"/>
      <c r="C98" s="15" t="s">
        <v>5</v>
      </c>
      <c r="D98" s="16">
        <v>43936</v>
      </c>
      <c r="E98" s="16"/>
      <c r="F98" s="38">
        <v>83745</v>
      </c>
      <c r="G98" s="68">
        <f t="shared" si="11"/>
        <v>49</v>
      </c>
      <c r="H98" s="68"/>
      <c r="I98" s="43">
        <v>1364666</v>
      </c>
      <c r="J98" s="69">
        <f t="shared" si="12"/>
        <v>16565</v>
      </c>
      <c r="K98" s="61">
        <f t="shared" si="14"/>
        <v>1448411</v>
      </c>
      <c r="L98" s="27">
        <f>3352+123202</f>
        <v>126554</v>
      </c>
      <c r="M98" s="66">
        <f t="shared" si="13"/>
        <v>8.7374370948577446E-2</v>
      </c>
      <c r="O98" s="1"/>
      <c r="P98" s="1"/>
      <c r="Q98" s="1"/>
      <c r="R98" s="1"/>
      <c r="S98" s="1"/>
      <c r="T98" s="1"/>
      <c r="U98" s="1"/>
    </row>
    <row r="99" spans="2:21" s="6" customFormat="1" ht="15" customHeight="1">
      <c r="B99" s="77"/>
      <c r="C99" s="15" t="s">
        <v>4</v>
      </c>
      <c r="D99" s="16">
        <v>43937</v>
      </c>
      <c r="F99" s="38">
        <v>83798</v>
      </c>
      <c r="G99" s="68">
        <f t="shared" si="11"/>
        <v>53</v>
      </c>
      <c r="H99" s="53"/>
      <c r="I99" s="43">
        <v>1425928</v>
      </c>
      <c r="J99" s="69">
        <f t="shared" si="12"/>
        <v>61262</v>
      </c>
      <c r="K99" s="61">
        <f t="shared" si="14"/>
        <v>1509726</v>
      </c>
      <c r="L99" s="27">
        <f>134751+3352</f>
        <v>138103</v>
      </c>
      <c r="M99" s="66">
        <f t="shared" si="13"/>
        <v>9.1475539270039735E-2</v>
      </c>
      <c r="O99" s="1"/>
      <c r="P99" s="1"/>
      <c r="Q99" s="1"/>
      <c r="R99" s="1"/>
      <c r="S99" s="1"/>
      <c r="T99" s="1"/>
      <c r="U99" s="1"/>
    </row>
    <row r="100" spans="2:21" s="6" customFormat="1">
      <c r="B100" s="77"/>
      <c r="C100" s="15" t="s">
        <v>3</v>
      </c>
      <c r="D100" s="16">
        <v>43938</v>
      </c>
      <c r="F100" s="38">
        <v>84149</v>
      </c>
      <c r="G100" s="68">
        <f t="shared" si="11"/>
        <v>351</v>
      </c>
      <c r="H100" s="53"/>
      <c r="I100" s="43">
        <v>1467858</v>
      </c>
      <c r="J100" s="69">
        <f t="shared" ref="J100:J136" si="15">I100-I99</f>
        <v>41930</v>
      </c>
      <c r="K100" s="61">
        <f t="shared" ref="K100:K113" si="16">F100+I100</f>
        <v>1552007</v>
      </c>
      <c r="L100" s="27">
        <f>4642+140890</f>
        <v>145532</v>
      </c>
      <c r="M100" s="66">
        <f t="shared" si="13"/>
        <v>9.3770195624117675E-2</v>
      </c>
      <c r="O100" s="1"/>
      <c r="P100" s="1"/>
      <c r="Q100" s="1"/>
      <c r="R100" s="1"/>
      <c r="S100" s="1"/>
      <c r="T100" s="1"/>
      <c r="U100" s="1"/>
    </row>
    <row r="101" spans="2:21" s="6" customFormat="1">
      <c r="B101" s="77"/>
      <c r="C101" s="15" t="s">
        <v>2</v>
      </c>
      <c r="D101" s="16">
        <v>43939</v>
      </c>
      <c r="F101" s="38">
        <v>84180</v>
      </c>
      <c r="G101" s="68">
        <f t="shared" si="11"/>
        <v>31</v>
      </c>
      <c r="H101" s="71"/>
      <c r="I101" s="43">
        <v>1515927</v>
      </c>
      <c r="J101" s="69">
        <f t="shared" si="15"/>
        <v>48069</v>
      </c>
      <c r="K101" s="61">
        <f t="shared" si="16"/>
        <v>1600107</v>
      </c>
      <c r="L101" s="27">
        <f>4642+149566</f>
        <v>154208</v>
      </c>
      <c r="M101" s="66">
        <f t="shared" si="13"/>
        <v>9.6373555018508139E-2</v>
      </c>
      <c r="O101" s="1"/>
      <c r="P101" s="1"/>
      <c r="Q101" s="1"/>
      <c r="R101" s="1"/>
      <c r="S101" s="1"/>
      <c r="T101" s="1"/>
      <c r="U101" s="1"/>
    </row>
    <row r="102" spans="2:21" s="6" customFormat="1">
      <c r="B102" s="77"/>
      <c r="C102" s="21" t="s">
        <v>1</v>
      </c>
      <c r="D102" s="22">
        <v>43940</v>
      </c>
      <c r="E102" s="35"/>
      <c r="F102" s="40">
        <v>84201</v>
      </c>
      <c r="G102" s="52">
        <f t="shared" si="11"/>
        <v>21</v>
      </c>
      <c r="H102" s="52">
        <f>SUM(G96:G102)</f>
        <v>719</v>
      </c>
      <c r="I102" s="70">
        <v>1570914</v>
      </c>
      <c r="J102" s="56">
        <f t="shared" si="15"/>
        <v>54987</v>
      </c>
      <c r="K102" s="59">
        <f t="shared" si="16"/>
        <v>1655115</v>
      </c>
      <c r="L102" s="29">
        <f>4642+155934</f>
        <v>160576</v>
      </c>
      <c r="M102" s="64">
        <f t="shared" si="13"/>
        <v>9.7018031979650962E-2</v>
      </c>
      <c r="O102" s="1"/>
      <c r="P102" s="1"/>
      <c r="Q102" s="1"/>
      <c r="R102" s="1"/>
      <c r="S102" s="1"/>
      <c r="T102" s="1"/>
      <c r="U102" s="1"/>
    </row>
    <row r="103" spans="2:21" s="6" customFormat="1">
      <c r="B103" s="76" t="s">
        <v>35</v>
      </c>
      <c r="C103" s="15" t="s">
        <v>0</v>
      </c>
      <c r="D103" s="16">
        <v>43941</v>
      </c>
      <c r="F103" s="38">
        <v>84237</v>
      </c>
      <c r="G103" s="68">
        <f t="shared" si="11"/>
        <v>36</v>
      </c>
      <c r="H103" s="71"/>
      <c r="I103" s="43">
        <v>1610556</v>
      </c>
      <c r="J103" s="69">
        <f t="shared" si="15"/>
        <v>39642</v>
      </c>
      <c r="K103" s="61">
        <f t="shared" si="16"/>
        <v>1694793</v>
      </c>
      <c r="L103" s="27">
        <f>4642+160618</f>
        <v>165260</v>
      </c>
      <c r="M103" s="66">
        <f t="shared" si="13"/>
        <v>9.7510433427563131E-2</v>
      </c>
      <c r="O103" s="1"/>
      <c r="P103" s="1"/>
      <c r="Q103" s="1"/>
      <c r="R103" s="1"/>
      <c r="S103" s="1"/>
      <c r="T103" s="1"/>
      <c r="U103" s="1"/>
    </row>
    <row r="104" spans="2:21" s="6" customFormat="1">
      <c r="B104" s="76"/>
      <c r="C104" s="15" t="s">
        <v>6</v>
      </c>
      <c r="D104" s="16">
        <v>43942</v>
      </c>
      <c r="F104" s="38">
        <v>84271</v>
      </c>
      <c r="G104" s="68">
        <f t="shared" si="11"/>
        <v>34</v>
      </c>
      <c r="H104" s="71"/>
      <c r="I104" s="43">
        <v>1657859</v>
      </c>
      <c r="J104" s="69">
        <f t="shared" si="15"/>
        <v>47303</v>
      </c>
      <c r="K104" s="61">
        <f t="shared" si="16"/>
        <v>1742130</v>
      </c>
      <c r="L104" s="27">
        <f>4642+165642</f>
        <v>170284</v>
      </c>
      <c r="M104" s="66">
        <f t="shared" si="13"/>
        <v>9.7744714803143284E-2</v>
      </c>
      <c r="O104" s="1"/>
      <c r="P104" s="1"/>
      <c r="Q104" s="1"/>
      <c r="R104" s="1"/>
      <c r="S104" s="1"/>
      <c r="T104" s="1"/>
      <c r="U104" s="1"/>
    </row>
    <row r="105" spans="2:21" s="6" customFormat="1">
      <c r="B105" s="76"/>
      <c r="C105" s="15" t="s">
        <v>5</v>
      </c>
      <c r="D105" s="16">
        <v>43943</v>
      </c>
      <c r="F105" s="38">
        <v>84290</v>
      </c>
      <c r="G105" s="68">
        <f t="shared" si="11"/>
        <v>19</v>
      </c>
      <c r="H105" s="71"/>
      <c r="I105" s="43">
        <v>1709415</v>
      </c>
      <c r="J105" s="69">
        <f t="shared" si="15"/>
        <v>51556</v>
      </c>
      <c r="K105" s="61">
        <f t="shared" si="16"/>
        <v>1793705</v>
      </c>
      <c r="L105" s="27">
        <f>4642+169039</f>
        <v>173681</v>
      </c>
      <c r="M105" s="66">
        <f t="shared" si="13"/>
        <v>9.6828073735647724E-2</v>
      </c>
      <c r="O105" s="1"/>
      <c r="P105" s="1"/>
      <c r="Q105" s="1"/>
      <c r="R105" s="1"/>
      <c r="S105" s="1"/>
      <c r="T105" s="1"/>
      <c r="U105" s="1"/>
    </row>
    <row r="106" spans="2:21" s="6" customFormat="1">
      <c r="B106" s="76"/>
      <c r="C106" s="15" t="s">
        <v>4</v>
      </c>
      <c r="D106" s="16">
        <v>43944</v>
      </c>
      <c r="F106" s="38">
        <v>84302</v>
      </c>
      <c r="G106" s="68">
        <f t="shared" si="11"/>
        <v>12</v>
      </c>
      <c r="H106" s="71"/>
      <c r="I106" s="43">
        <v>1737624</v>
      </c>
      <c r="J106" s="69">
        <f t="shared" si="15"/>
        <v>28209</v>
      </c>
      <c r="K106" s="61">
        <f t="shared" si="16"/>
        <v>1821926</v>
      </c>
      <c r="L106" s="27">
        <f>4642+179810</f>
        <v>184452</v>
      </c>
      <c r="M106" s="66">
        <f t="shared" si="13"/>
        <v>0.10124011622865034</v>
      </c>
      <c r="O106" s="1"/>
      <c r="P106" s="1"/>
      <c r="Q106" s="1"/>
      <c r="R106" s="1"/>
      <c r="S106" s="1"/>
      <c r="T106" s="1"/>
      <c r="U106" s="1"/>
    </row>
    <row r="107" spans="2:21" s="6" customFormat="1">
      <c r="B107" s="76"/>
      <c r="C107" s="15" t="s">
        <v>3</v>
      </c>
      <c r="D107" s="16">
        <v>43945</v>
      </c>
      <c r="F107" s="38">
        <v>84313</v>
      </c>
      <c r="G107" s="68">
        <f t="shared" si="11"/>
        <v>11</v>
      </c>
      <c r="H107" s="71"/>
      <c r="I107" s="43">
        <v>1797589</v>
      </c>
      <c r="J107" s="69">
        <f t="shared" si="15"/>
        <v>59965</v>
      </c>
      <c r="K107" s="61">
        <f t="shared" si="16"/>
        <v>1881902</v>
      </c>
      <c r="L107" s="27">
        <f>4642+188387</f>
        <v>193029</v>
      </c>
      <c r="M107" s="66">
        <f t="shared" si="13"/>
        <v>0.10257122846992033</v>
      </c>
      <c r="O107" s="1"/>
      <c r="P107" s="1"/>
      <c r="Q107" s="1"/>
      <c r="R107" s="1"/>
      <c r="S107" s="1"/>
      <c r="T107" s="1"/>
      <c r="U107" s="1"/>
    </row>
    <row r="108" spans="2:21" s="6" customFormat="1">
      <c r="B108" s="76"/>
      <c r="C108" s="15" t="s">
        <v>2</v>
      </c>
      <c r="D108" s="16">
        <v>43946</v>
      </c>
      <c r="F108" s="38">
        <v>84338</v>
      </c>
      <c r="G108" s="68">
        <f t="shared" si="11"/>
        <v>25</v>
      </c>
      <c r="H108" s="71"/>
      <c r="I108" s="43">
        <v>1878183</v>
      </c>
      <c r="J108" s="69">
        <f t="shared" si="15"/>
        <v>80594</v>
      </c>
      <c r="K108" s="61">
        <f t="shared" si="16"/>
        <v>1962521</v>
      </c>
      <c r="L108" s="27">
        <f>4642+198682</f>
        <v>203324</v>
      </c>
      <c r="M108" s="66">
        <f t="shared" si="13"/>
        <v>0.10360347736406388</v>
      </c>
      <c r="O108" s="1"/>
      <c r="P108" s="1"/>
      <c r="Q108" s="1"/>
      <c r="R108" s="1"/>
      <c r="S108" s="1"/>
      <c r="T108" s="1"/>
      <c r="U108" s="1"/>
    </row>
    <row r="109" spans="2:21" s="6" customFormat="1">
      <c r="B109" s="76"/>
      <c r="C109" s="21" t="s">
        <v>1</v>
      </c>
      <c r="D109" s="22">
        <v>43947</v>
      </c>
      <c r="E109" s="35"/>
      <c r="F109" s="40">
        <v>84341</v>
      </c>
      <c r="G109" s="52">
        <f t="shared" si="11"/>
        <v>3</v>
      </c>
      <c r="H109" s="52">
        <f>SUM(G103:G109)</f>
        <v>140</v>
      </c>
      <c r="I109" s="45">
        <v>1906924</v>
      </c>
      <c r="J109" s="56">
        <f t="shared" si="15"/>
        <v>28741</v>
      </c>
      <c r="K109" s="59">
        <f t="shared" si="16"/>
        <v>1991265</v>
      </c>
      <c r="L109" s="29">
        <f>4643+202427</f>
        <v>207070</v>
      </c>
      <c r="M109" s="64">
        <f t="shared" si="13"/>
        <v>0.10398917271181887</v>
      </c>
      <c r="O109" s="1"/>
      <c r="P109" s="1"/>
      <c r="Q109" s="1"/>
      <c r="R109" s="1"/>
      <c r="S109" s="1"/>
      <c r="T109" s="1"/>
      <c r="U109" s="1"/>
    </row>
    <row r="110" spans="2:21" s="6" customFormat="1">
      <c r="B110" s="76" t="s">
        <v>36</v>
      </c>
      <c r="C110" s="15" t="s">
        <v>0</v>
      </c>
      <c r="D110" s="16">
        <v>43948</v>
      </c>
      <c r="F110" s="38">
        <v>84367</v>
      </c>
      <c r="G110" s="68">
        <f t="shared" si="11"/>
        <v>26</v>
      </c>
      <c r="H110" s="71"/>
      <c r="I110" s="43">
        <v>1930560</v>
      </c>
      <c r="J110" s="69">
        <f t="shared" si="15"/>
        <v>23636</v>
      </c>
      <c r="K110" s="61">
        <f t="shared" si="16"/>
        <v>2014927</v>
      </c>
      <c r="L110" s="27">
        <f>4643+207147</f>
        <v>211790</v>
      </c>
      <c r="M110" s="66">
        <f t="shared" si="13"/>
        <v>0.10511050772559005</v>
      </c>
      <c r="O110" s="1"/>
      <c r="P110" s="1"/>
      <c r="Q110" s="1"/>
      <c r="R110" s="1"/>
      <c r="S110" s="1"/>
      <c r="T110" s="1"/>
      <c r="U110" s="1"/>
    </row>
    <row r="111" spans="2:21" s="6" customFormat="1">
      <c r="B111" s="76"/>
      <c r="C111" s="15" t="s">
        <v>6</v>
      </c>
      <c r="D111" s="16">
        <v>43949</v>
      </c>
      <c r="F111" s="38">
        <v>84368</v>
      </c>
      <c r="G111" s="68">
        <f t="shared" si="11"/>
        <v>1</v>
      </c>
      <c r="H111" s="71"/>
      <c r="I111" s="43">
        <v>1957045</v>
      </c>
      <c r="J111" s="69">
        <f t="shared" si="15"/>
        <v>26485</v>
      </c>
      <c r="K111" s="61">
        <f t="shared" si="16"/>
        <v>2041413</v>
      </c>
      <c r="L111" s="27">
        <f>4643+213491</f>
        <v>218134</v>
      </c>
      <c r="M111" s="66">
        <f t="shared" si="13"/>
        <v>0.10685441897352471</v>
      </c>
      <c r="O111" s="1"/>
      <c r="P111" s="1"/>
      <c r="Q111" s="1"/>
      <c r="R111" s="1"/>
      <c r="S111" s="1"/>
      <c r="T111" s="1"/>
      <c r="U111" s="1"/>
    </row>
    <row r="112" spans="2:21" s="18" customFormat="1">
      <c r="B112" s="76"/>
      <c r="C112" s="15" t="s">
        <v>5</v>
      </c>
      <c r="D112" s="16">
        <v>43950</v>
      </c>
      <c r="F112" s="38">
        <v>84369</v>
      </c>
      <c r="G112" s="68">
        <f t="shared" si="11"/>
        <v>1</v>
      </c>
      <c r="H112" s="71"/>
      <c r="I112" s="43">
        <v>1972383</v>
      </c>
      <c r="J112" s="69">
        <f t="shared" si="15"/>
        <v>15338</v>
      </c>
      <c r="K112" s="61">
        <f t="shared" si="16"/>
        <v>2056752</v>
      </c>
      <c r="L112" s="27">
        <f>4643+214245</f>
        <v>218888</v>
      </c>
      <c r="M112" s="66">
        <f t="shared" si="13"/>
        <v>0.10642410946968812</v>
      </c>
      <c r="O112" s="1"/>
      <c r="P112" s="1"/>
      <c r="Q112" s="1"/>
      <c r="R112" s="1"/>
      <c r="S112" s="1"/>
      <c r="T112" s="1"/>
      <c r="U112" s="1"/>
    </row>
    <row r="113" spans="2:21" s="6" customFormat="1">
      <c r="B113" s="76"/>
      <c r="C113" s="15" t="s">
        <v>4</v>
      </c>
      <c r="D113" s="16">
        <v>43951</v>
      </c>
      <c r="F113" s="38">
        <v>84373</v>
      </c>
      <c r="G113" s="68">
        <f t="shared" si="11"/>
        <v>4</v>
      </c>
      <c r="H113" s="71"/>
      <c r="I113" s="43">
        <v>2001324</v>
      </c>
      <c r="J113" s="69">
        <f t="shared" si="15"/>
        <v>28941</v>
      </c>
      <c r="K113" s="61">
        <f t="shared" si="16"/>
        <v>2085697</v>
      </c>
      <c r="L113" s="27">
        <f>4643+219751</f>
        <v>224394</v>
      </c>
      <c r="M113" s="66">
        <f t="shared" si="13"/>
        <v>0.10758705602971093</v>
      </c>
      <c r="O113" s="1"/>
      <c r="P113" s="1"/>
      <c r="Q113" s="1"/>
      <c r="R113" s="1"/>
      <c r="S113" s="1"/>
      <c r="T113" s="1"/>
      <c r="U113" s="1"/>
    </row>
    <row r="114" spans="2:21" s="6" customFormat="1">
      <c r="B114" s="76"/>
      <c r="C114" s="15" t="s">
        <v>3</v>
      </c>
      <c r="D114" s="16">
        <v>43952</v>
      </c>
      <c r="F114" s="38">
        <v>84385</v>
      </c>
      <c r="G114" s="68">
        <f t="shared" ref="G114" si="17">F114-F113</f>
        <v>12</v>
      </c>
      <c r="H114" s="71"/>
      <c r="I114" s="43">
        <v>2031100</v>
      </c>
      <c r="J114" s="69">
        <f t="shared" ref="J114" si="18">I114-I113</f>
        <v>29776</v>
      </c>
      <c r="K114" s="61">
        <f t="shared" ref="K114:K123" si="19">F114+I114</f>
        <v>2115485</v>
      </c>
      <c r="L114" s="27">
        <f>4643+229615</f>
        <v>234258</v>
      </c>
      <c r="M114" s="66">
        <f t="shared" si="13"/>
        <v>0.11073489058064699</v>
      </c>
      <c r="O114" s="1"/>
      <c r="P114" s="1"/>
      <c r="Q114" s="1"/>
      <c r="R114" s="1"/>
      <c r="S114" s="1"/>
      <c r="T114" s="1"/>
      <c r="U114" s="1"/>
    </row>
    <row r="115" spans="2:21" s="6" customFormat="1">
      <c r="B115" s="76"/>
      <c r="C115" s="15" t="s">
        <v>2</v>
      </c>
      <c r="D115" s="16">
        <v>43953</v>
      </c>
      <c r="F115" s="38">
        <v>84388</v>
      </c>
      <c r="G115" s="68">
        <f t="shared" si="11"/>
        <v>3</v>
      </c>
      <c r="H115" s="71"/>
      <c r="I115" s="43">
        <v>2077015</v>
      </c>
      <c r="J115" s="69">
        <f t="shared" si="15"/>
        <v>45915</v>
      </c>
      <c r="K115" s="61">
        <f t="shared" si="19"/>
        <v>2161403</v>
      </c>
      <c r="L115" s="27">
        <f>4643+235110</f>
        <v>239753</v>
      </c>
      <c r="M115" s="66">
        <f t="shared" si="13"/>
        <v>0.11092470955208261</v>
      </c>
      <c r="O115" s="1"/>
      <c r="P115" s="1"/>
      <c r="Q115" s="1"/>
      <c r="R115" s="1"/>
      <c r="S115" s="1"/>
      <c r="T115" s="1"/>
      <c r="U115" s="1"/>
    </row>
    <row r="116" spans="2:21" s="6" customFormat="1">
      <c r="B116" s="76"/>
      <c r="C116" s="21" t="s">
        <v>1</v>
      </c>
      <c r="D116" s="22">
        <v>43954</v>
      </c>
      <c r="E116" s="35"/>
      <c r="F116" s="40">
        <v>84393</v>
      </c>
      <c r="G116" s="52">
        <f t="shared" si="11"/>
        <v>5</v>
      </c>
      <c r="H116" s="52">
        <f>SUM(G110:G116)</f>
        <v>52</v>
      </c>
      <c r="I116" s="45">
        <v>2115264</v>
      </c>
      <c r="J116" s="56">
        <f t="shared" si="15"/>
        <v>38249</v>
      </c>
      <c r="K116" s="59">
        <f t="shared" si="19"/>
        <v>2199657</v>
      </c>
      <c r="L116" s="29">
        <f>4643+240061</f>
        <v>244704</v>
      </c>
      <c r="M116" s="64">
        <f t="shared" si="13"/>
        <v>0.11124643523967601</v>
      </c>
      <c r="O116" s="1"/>
      <c r="P116" s="1"/>
      <c r="Q116" s="1"/>
      <c r="R116" s="1"/>
      <c r="S116" s="1"/>
      <c r="T116" s="1"/>
      <c r="U116" s="1"/>
    </row>
    <row r="117" spans="2:21">
      <c r="B117" s="77" t="s">
        <v>37</v>
      </c>
      <c r="C117" s="15" t="s">
        <v>0</v>
      </c>
      <c r="D117" s="16">
        <v>43955</v>
      </c>
      <c r="F117" s="38">
        <v>84400</v>
      </c>
      <c r="G117" s="68">
        <f t="shared" si="11"/>
        <v>7</v>
      </c>
      <c r="H117" s="71"/>
      <c r="I117" s="43">
        <v>2163860</v>
      </c>
      <c r="J117" s="69">
        <f t="shared" si="15"/>
        <v>48596</v>
      </c>
      <c r="K117" s="61">
        <f t="shared" si="19"/>
        <v>2248260</v>
      </c>
      <c r="L117" s="27">
        <f>4643+243719</f>
        <v>248362</v>
      </c>
      <c r="M117" s="66">
        <f t="shared" si="13"/>
        <v>0.11046854011546707</v>
      </c>
      <c r="Q117" s="1"/>
    </row>
    <row r="118" spans="2:21">
      <c r="B118" s="77"/>
      <c r="C118" s="15" t="s">
        <v>6</v>
      </c>
      <c r="D118" s="16">
        <v>43956</v>
      </c>
      <c r="F118" s="38">
        <v>84404</v>
      </c>
      <c r="G118" s="68">
        <f t="shared" si="11"/>
        <v>4</v>
      </c>
      <c r="H118" s="71"/>
      <c r="I118" s="43">
        <v>2193898</v>
      </c>
      <c r="J118" s="69">
        <f t="shared" si="15"/>
        <v>30038</v>
      </c>
      <c r="K118" s="61">
        <f t="shared" si="19"/>
        <v>2278302</v>
      </c>
      <c r="L118" s="27">
        <f>4643+247889</f>
        <v>252532</v>
      </c>
      <c r="M118" s="66">
        <f t="shared" si="13"/>
        <v>0.1108421973908639</v>
      </c>
      <c r="Q118" s="1"/>
    </row>
    <row r="119" spans="2:21">
      <c r="B119" s="77"/>
      <c r="C119" s="15" t="s">
        <v>5</v>
      </c>
      <c r="D119" s="16">
        <v>43957</v>
      </c>
      <c r="F119" s="38">
        <v>84406</v>
      </c>
      <c r="G119" s="68">
        <f t="shared" si="11"/>
        <v>2</v>
      </c>
      <c r="H119" s="71"/>
      <c r="I119" s="43">
        <v>2227361</v>
      </c>
      <c r="J119" s="69">
        <f t="shared" si="15"/>
        <v>33463</v>
      </c>
      <c r="K119" s="61">
        <f t="shared" si="19"/>
        <v>2311767</v>
      </c>
      <c r="L119" s="27">
        <f>4643+253821</f>
        <v>258464</v>
      </c>
      <c r="M119" s="66">
        <f t="shared" si="13"/>
        <v>0.11180365495311595</v>
      </c>
      <c r="Q119" s="1"/>
    </row>
    <row r="120" spans="2:21">
      <c r="B120" s="77"/>
      <c r="C120" s="15" t="s">
        <v>4</v>
      </c>
      <c r="D120" s="16">
        <v>43958</v>
      </c>
      <c r="F120" s="38">
        <v>84409</v>
      </c>
      <c r="G120" s="68">
        <f t="shared" si="11"/>
        <v>3</v>
      </c>
      <c r="H120" s="71"/>
      <c r="I120" s="43">
        <v>2255157</v>
      </c>
      <c r="J120" s="69">
        <f t="shared" si="15"/>
        <v>27796</v>
      </c>
      <c r="K120" s="61">
        <f t="shared" si="19"/>
        <v>2339566</v>
      </c>
      <c r="L120" s="27">
        <f>4643+260534</f>
        <v>265177</v>
      </c>
      <c r="M120" s="66">
        <f t="shared" si="13"/>
        <v>0.1133445262924833</v>
      </c>
      <c r="Q120" s="1"/>
    </row>
    <row r="121" spans="2:21">
      <c r="B121" s="77"/>
      <c r="C121" s="15" t="s">
        <v>3</v>
      </c>
      <c r="D121" s="16">
        <v>43959</v>
      </c>
      <c r="F121" s="38">
        <v>84415</v>
      </c>
      <c r="G121" s="68">
        <f t="shared" si="11"/>
        <v>6</v>
      </c>
      <c r="H121" s="71"/>
      <c r="I121" s="43">
        <v>2302448</v>
      </c>
      <c r="J121" s="69">
        <f t="shared" si="15"/>
        <v>47291</v>
      </c>
      <c r="K121" s="61">
        <f t="shared" si="19"/>
        <v>2386863</v>
      </c>
      <c r="L121" s="27">
        <f>4643+265684</f>
        <v>270327</v>
      </c>
      <c r="M121" s="66">
        <f t="shared" si="13"/>
        <v>0.11325618604838233</v>
      </c>
      <c r="Q121" s="1"/>
    </row>
    <row r="122" spans="2:21">
      <c r="B122" s="77"/>
      <c r="C122" s="15" t="s">
        <v>2</v>
      </c>
      <c r="D122" s="16">
        <v>43960</v>
      </c>
      <c r="F122" s="38">
        <v>84416</v>
      </c>
      <c r="G122" s="68">
        <f t="shared" si="11"/>
        <v>1</v>
      </c>
      <c r="H122" s="71"/>
      <c r="I122" s="43">
        <v>2359127</v>
      </c>
      <c r="J122" s="69">
        <f t="shared" si="15"/>
        <v>56679</v>
      </c>
      <c r="K122" s="61">
        <f t="shared" si="19"/>
        <v>2443543</v>
      </c>
      <c r="L122" s="27">
        <f>4643+271920</f>
        <v>276563</v>
      </c>
      <c r="M122" s="66">
        <f t="shared" si="13"/>
        <v>0.11318114721124203</v>
      </c>
      <c r="Q122" s="1"/>
    </row>
    <row r="123" spans="2:21">
      <c r="B123" s="77"/>
      <c r="C123" s="21" t="s">
        <v>1</v>
      </c>
      <c r="D123" s="22">
        <v>43961</v>
      </c>
      <c r="E123" s="35"/>
      <c r="F123" s="40">
        <v>84430</v>
      </c>
      <c r="G123" s="52">
        <f t="shared" si="11"/>
        <v>14</v>
      </c>
      <c r="H123" s="52">
        <f>SUM(G117:G123)</f>
        <v>37</v>
      </c>
      <c r="I123" s="45">
        <v>2386276</v>
      </c>
      <c r="J123" s="56">
        <f t="shared" si="15"/>
        <v>27149</v>
      </c>
      <c r="K123" s="59">
        <f t="shared" si="19"/>
        <v>2470706</v>
      </c>
      <c r="L123" s="29">
        <f>4643+279285</f>
        <v>283928</v>
      </c>
      <c r="M123" s="64">
        <f t="shared" si="13"/>
        <v>0.11491776034866148</v>
      </c>
      <c r="Q123" s="1"/>
    </row>
    <row r="124" spans="2:21">
      <c r="B124" s="76" t="s">
        <v>38</v>
      </c>
      <c r="C124" s="15" t="s">
        <v>0</v>
      </c>
      <c r="D124" s="16">
        <v>43962</v>
      </c>
      <c r="F124" s="39">
        <v>84450</v>
      </c>
      <c r="G124" s="73">
        <f t="shared" ref="G124" si="20">F124-F123</f>
        <v>20</v>
      </c>
      <c r="H124" s="73"/>
      <c r="I124" s="44">
        <v>2406277</v>
      </c>
      <c r="J124" s="74">
        <f t="shared" ref="J124" si="21">I124-I123</f>
        <v>20001</v>
      </c>
      <c r="K124" s="60">
        <f t="shared" ref="K124:K137" si="22">F124+I124</f>
        <v>2490727</v>
      </c>
      <c r="L124" s="28">
        <f>4643+279285</f>
        <v>283928</v>
      </c>
      <c r="M124" s="66">
        <f t="shared" si="13"/>
        <v>0.11399402664362654</v>
      </c>
    </row>
    <row r="125" spans="2:21">
      <c r="B125" s="76"/>
      <c r="C125" s="15" t="s">
        <v>6</v>
      </c>
      <c r="D125" s="16">
        <v>43963</v>
      </c>
      <c r="F125" s="38">
        <v>84451</v>
      </c>
      <c r="G125" s="68">
        <f t="shared" si="11"/>
        <v>1</v>
      </c>
      <c r="H125" s="71"/>
      <c r="I125" s="43">
        <v>2439957</v>
      </c>
      <c r="J125" s="69">
        <f t="shared" si="15"/>
        <v>33680</v>
      </c>
      <c r="K125" s="61">
        <f t="shared" si="22"/>
        <v>2524408</v>
      </c>
      <c r="L125" s="27">
        <f>4644+282684</f>
        <v>287328</v>
      </c>
      <c r="M125" s="66">
        <f t="shared" si="13"/>
        <v>0.11381995303453324</v>
      </c>
    </row>
    <row r="126" spans="2:21">
      <c r="B126" s="76"/>
      <c r="C126" s="15" t="s">
        <v>5</v>
      </c>
      <c r="D126" s="16">
        <v>43964</v>
      </c>
      <c r="F126" s="38">
        <v>84458</v>
      </c>
      <c r="G126" s="68">
        <f t="shared" si="11"/>
        <v>7</v>
      </c>
      <c r="H126" s="71"/>
      <c r="I126" s="43">
        <v>2445220</v>
      </c>
      <c r="J126" s="69">
        <f t="shared" si="15"/>
        <v>5263</v>
      </c>
      <c r="K126" s="61">
        <f t="shared" si="22"/>
        <v>2529678</v>
      </c>
      <c r="L126" s="27">
        <f>4644+288250</f>
        <v>292894</v>
      </c>
      <c r="M126" s="66">
        <f t="shared" si="13"/>
        <v>0.11578311547951953</v>
      </c>
    </row>
    <row r="127" spans="2:21">
      <c r="B127" s="76"/>
      <c r="C127" s="15" t="s">
        <v>4</v>
      </c>
      <c r="D127" s="16">
        <v>43965</v>
      </c>
      <c r="F127" s="38">
        <v>84464</v>
      </c>
      <c r="G127" s="68">
        <f t="shared" si="11"/>
        <v>6</v>
      </c>
      <c r="H127" s="71"/>
      <c r="I127" s="43">
        <v>2472509</v>
      </c>
      <c r="J127" s="69">
        <f t="shared" si="15"/>
        <v>27289</v>
      </c>
      <c r="K127" s="61">
        <f t="shared" si="22"/>
        <v>2556973</v>
      </c>
      <c r="L127" s="27">
        <f>4644+293594</f>
        <v>298238</v>
      </c>
      <c r="M127" s="66">
        <f t="shared" si="13"/>
        <v>0.11663713304755272</v>
      </c>
    </row>
    <row r="128" spans="2:21">
      <c r="B128" s="76"/>
      <c r="C128" s="15" t="s">
        <v>3</v>
      </c>
      <c r="D128" s="16">
        <v>43966</v>
      </c>
      <c r="F128" s="38">
        <v>84469</v>
      </c>
      <c r="G128" s="68">
        <f t="shared" si="11"/>
        <v>5</v>
      </c>
      <c r="H128" s="71"/>
      <c r="I128" s="43">
        <v>2519578</v>
      </c>
      <c r="J128" s="69">
        <f t="shared" si="15"/>
        <v>47069</v>
      </c>
      <c r="K128" s="61">
        <f t="shared" si="22"/>
        <v>2604047</v>
      </c>
      <c r="L128" s="27">
        <f>4644+298817</f>
        <v>303461</v>
      </c>
      <c r="M128" s="66">
        <f t="shared" si="13"/>
        <v>0.11653437898778325</v>
      </c>
    </row>
    <row r="129" spans="2:14">
      <c r="B129" s="76"/>
      <c r="C129" s="15" t="s">
        <v>2</v>
      </c>
      <c r="D129" s="16">
        <v>43967</v>
      </c>
      <c r="F129" s="38">
        <v>84478</v>
      </c>
      <c r="G129" s="68">
        <f t="shared" si="11"/>
        <v>9</v>
      </c>
      <c r="H129" s="71"/>
      <c r="I129" s="43">
        <v>2560421</v>
      </c>
      <c r="J129" s="69">
        <f t="shared" si="15"/>
        <v>40843</v>
      </c>
      <c r="K129" s="61">
        <f t="shared" si="22"/>
        <v>2644899</v>
      </c>
      <c r="L129" s="27">
        <f>4644+304499</f>
        <v>309143</v>
      </c>
      <c r="M129" s="66">
        <f t="shared" si="13"/>
        <v>0.11688272406621197</v>
      </c>
    </row>
    <row r="130" spans="2:14">
      <c r="B130" s="76"/>
      <c r="C130" s="21" t="s">
        <v>1</v>
      </c>
      <c r="D130" s="22">
        <v>43968</v>
      </c>
      <c r="E130" s="35"/>
      <c r="F130" s="40">
        <v>84484</v>
      </c>
      <c r="G130" s="52">
        <f t="shared" si="11"/>
        <v>6</v>
      </c>
      <c r="H130" s="52">
        <f>SUM(G124:G130)</f>
        <v>54</v>
      </c>
      <c r="I130" s="45">
        <v>2596025</v>
      </c>
      <c r="J130" s="56">
        <f t="shared" si="15"/>
        <v>35604</v>
      </c>
      <c r="K130" s="59">
        <f t="shared" si="22"/>
        <v>2680509</v>
      </c>
      <c r="L130" s="29">
        <f>4645+308454</f>
        <v>313099</v>
      </c>
      <c r="M130" s="64">
        <f t="shared" si="13"/>
        <v>0.11680580068934669</v>
      </c>
    </row>
    <row r="131" spans="2:14">
      <c r="B131" s="76" t="s">
        <v>39</v>
      </c>
      <c r="C131" s="15" t="s">
        <v>0</v>
      </c>
      <c r="D131" s="16">
        <v>43969</v>
      </c>
      <c r="F131" s="38">
        <v>84494</v>
      </c>
      <c r="G131" s="68">
        <f t="shared" si="11"/>
        <v>10</v>
      </c>
      <c r="H131" s="71"/>
      <c r="I131" s="43">
        <v>2626143</v>
      </c>
      <c r="J131" s="69">
        <f t="shared" si="15"/>
        <v>30118</v>
      </c>
      <c r="K131" s="61">
        <f t="shared" si="22"/>
        <v>2710637</v>
      </c>
      <c r="L131" s="27">
        <f>4645+311991</f>
        <v>316636</v>
      </c>
      <c r="M131" s="66">
        <f t="shared" si="13"/>
        <v>0.11681239502006355</v>
      </c>
    </row>
    <row r="132" spans="2:14">
      <c r="B132" s="76"/>
      <c r="C132" s="15" t="s">
        <v>6</v>
      </c>
      <c r="D132" s="16">
        <v>43970</v>
      </c>
      <c r="F132" s="38">
        <v>84503</v>
      </c>
      <c r="G132" s="68">
        <f t="shared" si="11"/>
        <v>9</v>
      </c>
      <c r="H132" s="71"/>
      <c r="I132" s="43">
        <v>2665000</v>
      </c>
      <c r="J132" s="69">
        <f t="shared" si="15"/>
        <v>38857</v>
      </c>
      <c r="K132" s="61">
        <f t="shared" si="22"/>
        <v>2749503</v>
      </c>
      <c r="L132" s="27">
        <f>4645+315522</f>
        <v>320167</v>
      </c>
      <c r="M132" s="66">
        <f t="shared" si="13"/>
        <v>0.116445408497463</v>
      </c>
    </row>
    <row r="133" spans="2:14">
      <c r="B133" s="76"/>
      <c r="C133" s="15" t="s">
        <v>5</v>
      </c>
      <c r="D133" s="16">
        <v>43971</v>
      </c>
      <c r="F133" s="38">
        <v>84505</v>
      </c>
      <c r="G133" s="68">
        <f t="shared" si="11"/>
        <v>2</v>
      </c>
      <c r="H133" s="71"/>
      <c r="I133" s="43">
        <v>2702747</v>
      </c>
      <c r="J133" s="69">
        <f t="shared" si="15"/>
        <v>37747</v>
      </c>
      <c r="K133" s="61">
        <f t="shared" si="22"/>
        <v>2787252</v>
      </c>
      <c r="L133" s="27">
        <f>4645+320189</f>
        <v>324834</v>
      </c>
      <c r="M133" s="66">
        <f t="shared" si="13"/>
        <v>0.11654274532765606</v>
      </c>
    </row>
    <row r="134" spans="2:14">
      <c r="B134" s="76"/>
      <c r="C134" s="15" t="s">
        <v>4</v>
      </c>
      <c r="D134" s="16">
        <v>43972</v>
      </c>
      <c r="F134" s="38">
        <v>84507</v>
      </c>
      <c r="G134" s="68">
        <f t="shared" si="11"/>
        <v>2</v>
      </c>
      <c r="H134" s="71"/>
      <c r="I134" s="43">
        <v>2735007</v>
      </c>
      <c r="J134" s="69">
        <f t="shared" si="15"/>
        <v>32260</v>
      </c>
      <c r="K134" s="61">
        <f t="shared" si="22"/>
        <v>2819514</v>
      </c>
      <c r="L134" s="27">
        <f>4645+325018</f>
        <v>329663</v>
      </c>
      <c r="M134" s="66">
        <f t="shared" si="13"/>
        <v>0.11692192342368224</v>
      </c>
    </row>
    <row r="135" spans="2:14">
      <c r="B135" s="76"/>
      <c r="C135" s="15" t="s">
        <v>3</v>
      </c>
      <c r="D135" s="16">
        <v>43973</v>
      </c>
      <c r="F135" s="38">
        <v>84520</v>
      </c>
      <c r="G135" s="68">
        <f t="shared" ref="G135:G136" si="23">F135-F134</f>
        <v>13</v>
      </c>
      <c r="H135" s="71"/>
      <c r="I135" s="43">
        <v>2779496</v>
      </c>
      <c r="J135" s="69">
        <f t="shared" si="15"/>
        <v>44489</v>
      </c>
      <c r="K135" s="61">
        <f t="shared" si="22"/>
        <v>2864016</v>
      </c>
      <c r="L135" s="27">
        <f>4645+329975</f>
        <v>334620</v>
      </c>
      <c r="M135" s="66">
        <f t="shared" si="13"/>
        <v>0.11683593946402535</v>
      </c>
    </row>
    <row r="136" spans="2:14">
      <c r="B136" s="76"/>
      <c r="C136" s="15" t="s">
        <v>2</v>
      </c>
      <c r="D136" s="16">
        <v>43974</v>
      </c>
      <c r="F136" s="38">
        <v>84522</v>
      </c>
      <c r="G136" s="68">
        <f t="shared" si="23"/>
        <v>2</v>
      </c>
      <c r="H136" s="72"/>
      <c r="I136" s="43">
        <v>2811274</v>
      </c>
      <c r="J136" s="69">
        <f t="shared" si="15"/>
        <v>31778</v>
      </c>
      <c r="K136" s="61">
        <f t="shared" si="22"/>
        <v>2895796</v>
      </c>
      <c r="L136" s="27">
        <f>4645+335474</f>
        <v>340119</v>
      </c>
      <c r="M136" s="66">
        <f t="shared" si="13"/>
        <v>0.1174526796777121</v>
      </c>
    </row>
    <row r="137" spans="2:14">
      <c r="B137" s="76"/>
      <c r="C137" s="21" t="s">
        <v>1</v>
      </c>
      <c r="D137" s="22">
        <v>43975</v>
      </c>
      <c r="E137" s="35"/>
      <c r="F137" s="40">
        <v>84525</v>
      </c>
      <c r="G137" s="52">
        <f t="shared" ref="G137" si="24">F137-F136</f>
        <v>3</v>
      </c>
      <c r="H137" s="52">
        <f>SUM(G131:G137)</f>
        <v>41</v>
      </c>
      <c r="I137" s="45">
        <v>2811043</v>
      </c>
      <c r="J137" s="56">
        <f t="shared" ref="J137" si="25">I137-I136</f>
        <v>-231</v>
      </c>
      <c r="K137" s="59">
        <f t="shared" si="22"/>
        <v>2895568</v>
      </c>
      <c r="L137" s="29">
        <f>4645+338927</f>
        <v>343572</v>
      </c>
      <c r="M137" s="64">
        <f t="shared" ref="M137" si="26">L137/K137</f>
        <v>0.1186544401651075</v>
      </c>
    </row>
    <row r="138" spans="2:14">
      <c r="K138" s="15"/>
    </row>
    <row r="139" spans="2:14">
      <c r="C139" s="78" t="s">
        <v>40</v>
      </c>
      <c r="L139" s="24" t="s">
        <v>25</v>
      </c>
      <c r="M139" s="23">
        <f>SUM(M7:M137)/N139</f>
        <v>6.0415183120938097E-2</v>
      </c>
      <c r="N139" s="75">
        <f>COUNT(M7:M137)</f>
        <v>131</v>
      </c>
    </row>
  </sheetData>
  <sortState xmlns:xlrd2="http://schemas.microsoft.com/office/spreadsheetml/2017/richdata2" ref="C56:Q72">
    <sortCondition ref="P56:P72"/>
  </sortState>
  <mergeCells count="19">
    <mergeCell ref="B75:B81"/>
    <mergeCell ref="B5:B11"/>
    <mergeCell ref="B82:B88"/>
    <mergeCell ref="B89:B95"/>
    <mergeCell ref="B40:B46"/>
    <mergeCell ref="B47:B53"/>
    <mergeCell ref="B54:B60"/>
    <mergeCell ref="B61:B67"/>
    <mergeCell ref="B68:B74"/>
    <mergeCell ref="B12:B18"/>
    <mergeCell ref="B19:B25"/>
    <mergeCell ref="B26:B32"/>
    <mergeCell ref="B33:B39"/>
    <mergeCell ref="B131:B137"/>
    <mergeCell ref="B96:B102"/>
    <mergeCell ref="B103:B109"/>
    <mergeCell ref="B110:B116"/>
    <mergeCell ref="B117:B123"/>
    <mergeCell ref="B124:B130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 Stats</vt:lpstr>
    </vt:vector>
  </TitlesOfParts>
  <Manager>Toby Simkin</Manager>
  <Company>Toby Simkin's Broadway Entertainment, LLC</Company>
  <LinksUpToDate>false</LinksUpToDate>
  <SharedDoc>false</SharedDoc>
  <HyperlinkBase>http://www.TobySimkin.com/covid-19-stats/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historical statistical data</dc:title>
  <dc:subject>COVID-19, Novel Coronavirus statistics</dc:subject>
  <dc:creator>Toby Simkin</dc:creator>
  <cp:keywords>COVID-19, Coronavirus, Stats</cp:keywords>
  <dc:description>my full Microsoft Excel spreadsheet that I've been compiling each day since January 13, of COVID-19 historical daily domestic China and globally reported infection / death toll over the past 18 weeks is available for free download.  For the statisticians and historians (and the silly conspiracy nutters), it may be of interest...
</dc:description>
  <cp:lastModifiedBy>Toby Simkin</cp:lastModifiedBy>
  <dcterms:created xsi:type="dcterms:W3CDTF">2020-01-27T02:56:17Z</dcterms:created>
  <dcterms:modified xsi:type="dcterms:W3CDTF">2020-05-24T01:49:54Z</dcterms:modified>
  <cp:category>COVID-19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tination">
    <vt:lpwstr>TobySimkin.com</vt:lpwstr>
  </property>
  <property fmtid="{D5CDD505-2E9C-101B-9397-08002B2CF9AE}" pid="3" name="Checked by">
    <vt:lpwstr>TobySimkin.com</vt:lpwstr>
  </property>
  <property fmtid="{D5CDD505-2E9C-101B-9397-08002B2CF9AE}" pid="4" name="Owner">
    <vt:lpwstr>Toby Simkin</vt:lpwstr>
  </property>
  <property fmtid="{D5CDD505-2E9C-101B-9397-08002B2CF9AE}" pid="5" name="Publisher">
    <vt:lpwstr>TobySimkin.com</vt:lpwstr>
  </property>
</Properties>
</file>